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35" windowHeight="7425" tabRatio="996" activeTab="5"/>
  </bookViews>
  <sheets>
    <sheet name="доходы 2014" sheetId="27" r:id="rId1"/>
    <sheet name="расходы 2014" sheetId="2" r:id="rId2"/>
    <sheet name="программы 2014" sheetId="5" r:id="rId3"/>
    <sheet name="разделы 2014" sheetId="23" r:id="rId4"/>
    <sheet name="расходы 2014 по стуктуре" sheetId="25" r:id="rId5"/>
    <sheet name="источники финансирования" sheetId="26" r:id="rId6"/>
  </sheets>
  <definedNames>
    <definedName name="_xlnm._FilterDatabase" localSheetId="1" hidden="1">'расходы 2014'!$A$6:$H$213</definedName>
    <definedName name="_xlnm._FilterDatabase" localSheetId="4" hidden="1">'расходы 2014 по стуктуре'!$A$4:$J$126</definedName>
  </definedNames>
  <calcPr calcId="144525" refMode="R1C1"/>
</workbook>
</file>

<file path=xl/calcChain.xml><?xml version="1.0" encoding="utf-8"?>
<calcChain xmlns="http://schemas.openxmlformats.org/spreadsheetml/2006/main">
  <c r="L15" i="26" l="1"/>
  <c r="K11" i="25" l="1"/>
  <c r="F19" i="27"/>
  <c r="F8" i="27"/>
  <c r="F35" i="27" l="1"/>
  <c r="E5" i="27"/>
  <c r="E36" i="27"/>
  <c r="E14" i="27"/>
  <c r="F23" i="27"/>
  <c r="G23" i="27"/>
  <c r="H23" i="27"/>
  <c r="E23" i="27"/>
  <c r="N18" i="26"/>
  <c r="N15" i="26"/>
  <c r="F13" i="27"/>
  <c r="F12" i="27"/>
  <c r="H8" i="27" l="1"/>
  <c r="H10" i="27"/>
  <c r="H12" i="27"/>
  <c r="H13" i="27"/>
  <c r="H14" i="27"/>
  <c r="H15" i="27"/>
  <c r="H16" i="27"/>
  <c r="H18" i="27"/>
  <c r="H19" i="27"/>
  <c r="H20" i="27"/>
  <c r="H21" i="27"/>
  <c r="H22" i="27"/>
  <c r="H25" i="27"/>
  <c r="H26" i="27"/>
  <c r="H28" i="27"/>
  <c r="H29" i="27"/>
  <c r="H30" i="27"/>
  <c r="H31" i="27"/>
  <c r="H32" i="27"/>
  <c r="H33" i="27"/>
  <c r="H34" i="27"/>
  <c r="H35" i="27"/>
  <c r="G8" i="27"/>
  <c r="G10" i="27"/>
  <c r="G12" i="27"/>
  <c r="G13" i="27"/>
  <c r="G14" i="27"/>
  <c r="G15" i="27"/>
  <c r="G16" i="27"/>
  <c r="G18" i="27"/>
  <c r="G19" i="27"/>
  <c r="G20" i="27"/>
  <c r="G21" i="27"/>
  <c r="G22" i="27"/>
  <c r="G25" i="27"/>
  <c r="G26" i="27"/>
  <c r="G28" i="27"/>
  <c r="G29" i="27"/>
  <c r="G30" i="27"/>
  <c r="G31" i="27"/>
  <c r="G32" i="27"/>
  <c r="G33" i="27"/>
  <c r="G34" i="27"/>
  <c r="G35" i="27"/>
  <c r="E9" i="27"/>
  <c r="E31" i="27"/>
  <c r="C27" i="27"/>
  <c r="C21" i="27"/>
  <c r="E35" i="27"/>
  <c r="F34" i="27"/>
  <c r="E34" i="27"/>
  <c r="F32" i="27"/>
  <c r="F33" i="27"/>
  <c r="E33" i="27"/>
  <c r="E32" i="27"/>
  <c r="F30" i="27"/>
  <c r="E30" i="27"/>
  <c r="F29" i="27"/>
  <c r="E29" i="27"/>
  <c r="F28" i="27"/>
  <c r="F27" i="27" s="1"/>
  <c r="H27" i="27" s="1"/>
  <c r="E28" i="27"/>
  <c r="F26" i="27"/>
  <c r="F25" i="27" s="1"/>
  <c r="E26" i="27"/>
  <c r="F22" i="27"/>
  <c r="F21" i="27" s="1"/>
  <c r="E22" i="27"/>
  <c r="E19" i="27"/>
  <c r="F20" i="27"/>
  <c r="F17" i="27" s="1"/>
  <c r="E20" i="27"/>
  <c r="F15" i="27"/>
  <c r="F14" i="27" s="1"/>
  <c r="E15" i="27"/>
  <c r="E13" i="27"/>
  <c r="F11" i="27"/>
  <c r="G11" i="27" s="1"/>
  <c r="E12" i="27"/>
  <c r="F10" i="27"/>
  <c r="E10" i="27"/>
  <c r="E8" i="27"/>
  <c r="F7" i="27"/>
  <c r="K93" i="25"/>
  <c r="J93" i="25"/>
  <c r="K95" i="25"/>
  <c r="J95" i="25"/>
  <c r="K38" i="25"/>
  <c r="J38" i="25"/>
  <c r="K28" i="25"/>
  <c r="J28" i="25"/>
  <c r="L9" i="25"/>
  <c r="L12" i="25"/>
  <c r="L13" i="25"/>
  <c r="L14" i="25"/>
  <c r="L15" i="25"/>
  <c r="L18" i="25"/>
  <c r="L21" i="25"/>
  <c r="L23" i="25"/>
  <c r="L25" i="25"/>
  <c r="L27" i="25"/>
  <c r="L29" i="25"/>
  <c r="L30" i="25"/>
  <c r="L31" i="25"/>
  <c r="L33" i="25"/>
  <c r="L35" i="25"/>
  <c r="L36" i="25"/>
  <c r="L37" i="25"/>
  <c r="L39" i="25"/>
  <c r="L40" i="25"/>
  <c r="L41" i="25"/>
  <c r="L45" i="25"/>
  <c r="L49" i="25"/>
  <c r="L52" i="25"/>
  <c r="L54" i="25"/>
  <c r="L56" i="25"/>
  <c r="L60" i="25"/>
  <c r="L63" i="25"/>
  <c r="L65" i="25"/>
  <c r="L66" i="25"/>
  <c r="L69" i="25"/>
  <c r="L73" i="25"/>
  <c r="L74" i="25"/>
  <c r="L77" i="25"/>
  <c r="L79" i="25"/>
  <c r="L81" i="25"/>
  <c r="L82" i="25"/>
  <c r="L84" i="25"/>
  <c r="L87" i="25"/>
  <c r="L88" i="25"/>
  <c r="L90" i="25"/>
  <c r="L94" i="25"/>
  <c r="L96" i="25"/>
  <c r="L98" i="25"/>
  <c r="L99" i="25"/>
  <c r="L100" i="25"/>
  <c r="L101" i="25"/>
  <c r="L103" i="25"/>
  <c r="L105" i="25"/>
  <c r="L106" i="25"/>
  <c r="L108" i="25"/>
  <c r="L112" i="25"/>
  <c r="L113" i="25"/>
  <c r="L115" i="25"/>
  <c r="L116" i="25"/>
  <c r="L117" i="25"/>
  <c r="L119" i="25"/>
  <c r="L123" i="25"/>
  <c r="L125" i="25"/>
  <c r="M125" i="25"/>
  <c r="M9" i="25"/>
  <c r="M12" i="25"/>
  <c r="M13" i="25"/>
  <c r="M14" i="25"/>
  <c r="M15" i="25"/>
  <c r="M18" i="25"/>
  <c r="M21" i="25"/>
  <c r="M23" i="25"/>
  <c r="M25" i="25"/>
  <c r="M27" i="25"/>
  <c r="M29" i="25"/>
  <c r="M30" i="25"/>
  <c r="M31" i="25"/>
  <c r="M33" i="25"/>
  <c r="M35" i="25"/>
  <c r="M36" i="25"/>
  <c r="M37" i="25"/>
  <c r="M39" i="25"/>
  <c r="M40" i="25"/>
  <c r="M41" i="25"/>
  <c r="M45" i="25"/>
  <c r="M49" i="25"/>
  <c r="M52" i="25"/>
  <c r="M54" i="25"/>
  <c r="M56" i="25"/>
  <c r="M60" i="25"/>
  <c r="M63" i="25"/>
  <c r="M65" i="25"/>
  <c r="M66" i="25"/>
  <c r="M69" i="25"/>
  <c r="M73" i="25"/>
  <c r="M74" i="25"/>
  <c r="M77" i="25"/>
  <c r="M79" i="25"/>
  <c r="M81" i="25"/>
  <c r="M82" i="25"/>
  <c r="M84" i="25"/>
  <c r="M87" i="25"/>
  <c r="M88" i="25"/>
  <c r="M90" i="25"/>
  <c r="M94" i="25"/>
  <c r="M96" i="25"/>
  <c r="M98" i="25"/>
  <c r="M99" i="25"/>
  <c r="M100" i="25"/>
  <c r="M101" i="25"/>
  <c r="M103" i="25"/>
  <c r="M105" i="25"/>
  <c r="M106" i="25"/>
  <c r="M108" i="25"/>
  <c r="M112" i="25"/>
  <c r="M113" i="25"/>
  <c r="M115" i="25"/>
  <c r="M116" i="25"/>
  <c r="M117" i="25"/>
  <c r="M119" i="25"/>
  <c r="M123" i="25"/>
  <c r="J59" i="25"/>
  <c r="J58" i="25" s="1"/>
  <c r="K8" i="25"/>
  <c r="K7" i="25" s="1"/>
  <c r="K10" i="25"/>
  <c r="K17" i="25"/>
  <c r="K16" i="25" s="1"/>
  <c r="K20" i="25"/>
  <c r="K22" i="25"/>
  <c r="K24" i="25"/>
  <c r="K26" i="25"/>
  <c r="K32" i="25"/>
  <c r="K34" i="25"/>
  <c r="K44" i="25"/>
  <c r="K43" i="25" s="1"/>
  <c r="K42" i="25" s="1"/>
  <c r="K48" i="25"/>
  <c r="K47" i="25" s="1"/>
  <c r="K51" i="25"/>
  <c r="K50" i="25" s="1"/>
  <c r="K53" i="25"/>
  <c r="K55" i="25"/>
  <c r="K59" i="25"/>
  <c r="K58" i="25" s="1"/>
  <c r="K62" i="25"/>
  <c r="K64" i="25"/>
  <c r="K68" i="25"/>
  <c r="K67" i="25" s="1"/>
  <c r="K72" i="25"/>
  <c r="K71" i="25" s="1"/>
  <c r="K76" i="25"/>
  <c r="K78" i="25"/>
  <c r="K80" i="25"/>
  <c r="K83" i="25"/>
  <c r="K86" i="25"/>
  <c r="K85" i="25" s="1"/>
  <c r="K89" i="25"/>
  <c r="K97" i="25"/>
  <c r="K92" i="25" s="1"/>
  <c r="K102" i="25"/>
  <c r="K104" i="25"/>
  <c r="K107" i="25"/>
  <c r="K111" i="25"/>
  <c r="K118" i="25"/>
  <c r="K122" i="25"/>
  <c r="K124" i="25"/>
  <c r="I7" i="23"/>
  <c r="I8" i="23"/>
  <c r="I9" i="23"/>
  <c r="I10" i="23"/>
  <c r="I11" i="23"/>
  <c r="I12" i="23"/>
  <c r="I13" i="23"/>
  <c r="I14" i="23"/>
  <c r="I15" i="23"/>
  <c r="I16" i="23"/>
  <c r="I18" i="23"/>
  <c r="I19" i="23"/>
  <c r="I20" i="23"/>
  <c r="I21" i="23"/>
  <c r="I22" i="23"/>
  <c r="I23" i="23"/>
  <c r="I24" i="23"/>
  <c r="I25" i="23"/>
  <c r="I26" i="23"/>
  <c r="I30" i="23"/>
  <c r="I6" i="23"/>
  <c r="H7" i="23"/>
  <c r="H8" i="23"/>
  <c r="H9" i="23"/>
  <c r="H10" i="23"/>
  <c r="H11" i="23"/>
  <c r="H12" i="23"/>
  <c r="H13" i="23"/>
  <c r="H14" i="23"/>
  <c r="H15" i="23"/>
  <c r="H16" i="23"/>
  <c r="H18" i="23"/>
  <c r="H19" i="23"/>
  <c r="H20" i="23"/>
  <c r="H21" i="23"/>
  <c r="H22" i="23"/>
  <c r="H23" i="23"/>
  <c r="H24" i="23"/>
  <c r="H25" i="23"/>
  <c r="H26" i="23"/>
  <c r="H28" i="23"/>
  <c r="H30" i="23"/>
  <c r="H6" i="23"/>
  <c r="G29" i="23"/>
  <c r="G27" i="23"/>
  <c r="G25" i="23"/>
  <c r="G21" i="23"/>
  <c r="G17" i="23"/>
  <c r="I17" i="23" s="1"/>
  <c r="G13" i="23"/>
  <c r="G11" i="23"/>
  <c r="G6" i="23"/>
  <c r="I71" i="2"/>
  <c r="G102" i="5"/>
  <c r="F102" i="5"/>
  <c r="I10" i="5"/>
  <c r="I12" i="5"/>
  <c r="I16" i="5"/>
  <c r="I21" i="5"/>
  <c r="I25" i="5"/>
  <c r="I29" i="5"/>
  <c r="I31" i="5"/>
  <c r="I34" i="5"/>
  <c r="I38" i="5"/>
  <c r="I40" i="5"/>
  <c r="I43" i="5"/>
  <c r="I48" i="5"/>
  <c r="I49" i="5"/>
  <c r="I51" i="5"/>
  <c r="I53" i="5"/>
  <c r="I56" i="5"/>
  <c r="I61" i="5"/>
  <c r="I66" i="5"/>
  <c r="I68" i="5"/>
  <c r="I72" i="5"/>
  <c r="I74" i="5"/>
  <c r="I78" i="5"/>
  <c r="I82" i="5"/>
  <c r="I85" i="5"/>
  <c r="I90" i="5"/>
  <c r="I93" i="5"/>
  <c r="I97" i="5"/>
  <c r="I100" i="5"/>
  <c r="I105" i="5"/>
  <c r="I108" i="5"/>
  <c r="I112" i="5"/>
  <c r="I117" i="5"/>
  <c r="I125" i="5"/>
  <c r="I131" i="5"/>
  <c r="I132" i="5"/>
  <c r="I135" i="5"/>
  <c r="I140" i="5"/>
  <c r="I145" i="5"/>
  <c r="I147" i="5"/>
  <c r="I149" i="5"/>
  <c r="I152" i="5"/>
  <c r="I154" i="5"/>
  <c r="I156" i="5"/>
  <c r="I159" i="5"/>
  <c r="I160" i="5"/>
  <c r="I162" i="5"/>
  <c r="I165" i="5"/>
  <c r="I168" i="5"/>
  <c r="I172" i="5"/>
  <c r="I176" i="5"/>
  <c r="H10" i="5"/>
  <c r="H12" i="5"/>
  <c r="H16" i="5"/>
  <c r="H21" i="5"/>
  <c r="H25" i="5"/>
  <c r="H29" i="5"/>
  <c r="H31" i="5"/>
  <c r="H34" i="5"/>
  <c r="H38" i="5"/>
  <c r="H40" i="5"/>
  <c r="H43" i="5"/>
  <c r="H48" i="5"/>
  <c r="H49" i="5"/>
  <c r="H51" i="5"/>
  <c r="H53" i="5"/>
  <c r="H56" i="5"/>
  <c r="H61" i="5"/>
  <c r="H66" i="5"/>
  <c r="H68" i="5"/>
  <c r="H72" i="5"/>
  <c r="H74" i="5"/>
  <c r="H78" i="5"/>
  <c r="H82" i="5"/>
  <c r="H85" i="5"/>
  <c r="H90" i="5"/>
  <c r="H93" i="5"/>
  <c r="H97" i="5"/>
  <c r="H100" i="5"/>
  <c r="H105" i="5"/>
  <c r="H108" i="5"/>
  <c r="H112" i="5"/>
  <c r="H117" i="5"/>
  <c r="H125" i="5"/>
  <c r="H131" i="5"/>
  <c r="H132" i="5"/>
  <c r="H135" i="5"/>
  <c r="H140" i="5"/>
  <c r="H145" i="5"/>
  <c r="H147" i="5"/>
  <c r="H149" i="5"/>
  <c r="H152" i="5"/>
  <c r="H154" i="5"/>
  <c r="H156" i="5"/>
  <c r="H159" i="5"/>
  <c r="H160" i="5"/>
  <c r="H162" i="5"/>
  <c r="H165" i="5"/>
  <c r="H168" i="5"/>
  <c r="H172" i="5"/>
  <c r="H176" i="5"/>
  <c r="F129" i="5"/>
  <c r="I129" i="5" s="1"/>
  <c r="G8" i="5"/>
  <c r="G7" i="5" s="1"/>
  <c r="G9" i="5"/>
  <c r="G11" i="5"/>
  <c r="G15" i="5"/>
  <c r="G20" i="5"/>
  <c r="G19" i="5" s="1"/>
  <c r="G24" i="5"/>
  <c r="G23" i="5" s="1"/>
  <c r="G28" i="5"/>
  <c r="G30" i="5"/>
  <c r="G33" i="5"/>
  <c r="G37" i="5"/>
  <c r="G39" i="5"/>
  <c r="G42" i="5"/>
  <c r="G41" i="5" s="1"/>
  <c r="G47" i="5"/>
  <c r="G50" i="5"/>
  <c r="G52" i="5"/>
  <c r="G55" i="5"/>
  <c r="G60" i="5"/>
  <c r="G59" i="5" s="1"/>
  <c r="G58" i="5" s="1"/>
  <c r="G63" i="5"/>
  <c r="G65" i="5"/>
  <c r="G67" i="5"/>
  <c r="G71" i="5"/>
  <c r="G73" i="5"/>
  <c r="G77" i="5"/>
  <c r="G81" i="5"/>
  <c r="G84" i="5"/>
  <c r="G83" i="5" s="1"/>
  <c r="G89" i="5"/>
  <c r="G92" i="5"/>
  <c r="G96" i="5"/>
  <c r="G95" i="5" s="1"/>
  <c r="G99" i="5"/>
  <c r="G104" i="5"/>
  <c r="G107" i="5"/>
  <c r="G106" i="5" s="1"/>
  <c r="G111" i="5"/>
  <c r="G116" i="5"/>
  <c r="G115" i="5" s="1"/>
  <c r="G114" i="5" s="1"/>
  <c r="G113" i="5" s="1"/>
  <c r="G121" i="5"/>
  <c r="G124" i="5"/>
  <c r="G123" i="5" s="1"/>
  <c r="G128" i="5"/>
  <c r="G130" i="5"/>
  <c r="G134" i="5"/>
  <c r="G139" i="5"/>
  <c r="G138" i="5" s="1"/>
  <c r="G137" i="5" s="1"/>
  <c r="G136" i="5" s="1"/>
  <c r="G144" i="5"/>
  <c r="G146" i="5"/>
  <c r="G148" i="5"/>
  <c r="G151" i="5"/>
  <c r="G153" i="5"/>
  <c r="G155" i="5"/>
  <c r="G158" i="5"/>
  <c r="G161" i="5"/>
  <c r="G164" i="5"/>
  <c r="G167" i="5"/>
  <c r="G166" i="5" s="1"/>
  <c r="G171" i="5"/>
  <c r="G175" i="5"/>
  <c r="G174" i="5" s="1"/>
  <c r="G173" i="5" s="1"/>
  <c r="H52" i="2"/>
  <c r="K14" i="2"/>
  <c r="K20" i="2"/>
  <c r="K22" i="2"/>
  <c r="K24" i="2"/>
  <c r="K30" i="2"/>
  <c r="K35" i="2"/>
  <c r="K40" i="2"/>
  <c r="K44" i="2"/>
  <c r="K48" i="2"/>
  <c r="K52" i="2"/>
  <c r="K54" i="2"/>
  <c r="K55" i="2"/>
  <c r="K60" i="2"/>
  <c r="K65" i="2"/>
  <c r="K66" i="2"/>
  <c r="K68" i="2"/>
  <c r="K71" i="2"/>
  <c r="K73" i="2"/>
  <c r="K75" i="2"/>
  <c r="K81" i="2"/>
  <c r="K88" i="2"/>
  <c r="K94" i="2"/>
  <c r="K98" i="2"/>
  <c r="K102" i="2"/>
  <c r="K108" i="2"/>
  <c r="K114" i="2"/>
  <c r="K117" i="2"/>
  <c r="K122" i="2"/>
  <c r="K129" i="2"/>
  <c r="K131" i="2"/>
  <c r="K136" i="2"/>
  <c r="K139" i="2"/>
  <c r="K143" i="2"/>
  <c r="K146" i="2"/>
  <c r="K152" i="2"/>
  <c r="K154" i="2"/>
  <c r="K158" i="2"/>
  <c r="K165" i="2"/>
  <c r="K168" i="2"/>
  <c r="K172" i="2"/>
  <c r="K174" i="2"/>
  <c r="K177" i="2"/>
  <c r="K181" i="2"/>
  <c r="K183" i="2"/>
  <c r="K186" i="2"/>
  <c r="K193" i="2"/>
  <c r="K194" i="2"/>
  <c r="K196" i="2"/>
  <c r="K198" i="2"/>
  <c r="K201" i="2"/>
  <c r="K207" i="2"/>
  <c r="K212" i="2"/>
  <c r="J30" i="2"/>
  <c r="I73" i="2"/>
  <c r="J73" i="2" s="1"/>
  <c r="H108" i="2"/>
  <c r="I72" i="2"/>
  <c r="I29" i="2"/>
  <c r="I212" i="2"/>
  <c r="J212" i="2" s="1"/>
  <c r="I207" i="2"/>
  <c r="J207" i="2" s="1"/>
  <c r="I201" i="2"/>
  <c r="I200" i="2" s="1"/>
  <c r="I198" i="2"/>
  <c r="J198" i="2" s="1"/>
  <c r="I196" i="2"/>
  <c r="J196" i="2" s="1"/>
  <c r="I194" i="2"/>
  <c r="I193" i="2"/>
  <c r="J193" i="2" s="1"/>
  <c r="I186" i="2"/>
  <c r="I185" i="2" s="1"/>
  <c r="I183" i="2"/>
  <c r="J183" i="2" s="1"/>
  <c r="I181" i="2"/>
  <c r="J181" i="2" s="1"/>
  <c r="I177" i="2"/>
  <c r="J177" i="2" s="1"/>
  <c r="I174" i="2"/>
  <c r="I173" i="2" s="1"/>
  <c r="I172" i="2"/>
  <c r="J172" i="2" s="1"/>
  <c r="I168" i="2"/>
  <c r="J168" i="2" s="1"/>
  <c r="I165" i="2"/>
  <c r="J165" i="2" s="1"/>
  <c r="I158" i="2"/>
  <c r="J158" i="2" s="1"/>
  <c r="I154" i="2"/>
  <c r="J154" i="2" s="1"/>
  <c r="I152" i="2"/>
  <c r="J152" i="2" s="1"/>
  <c r="I146" i="2"/>
  <c r="J146" i="2" s="1"/>
  <c r="I143" i="2"/>
  <c r="J143" i="2" s="1"/>
  <c r="I139" i="2"/>
  <c r="J139" i="2" s="1"/>
  <c r="I136" i="2"/>
  <c r="J136" i="2" s="1"/>
  <c r="I129" i="2"/>
  <c r="J129" i="2" s="1"/>
  <c r="I131" i="2"/>
  <c r="J131" i="2" s="1"/>
  <c r="I122" i="2"/>
  <c r="J122" i="2" s="1"/>
  <c r="I117" i="2"/>
  <c r="I114" i="2"/>
  <c r="J114" i="2" s="1"/>
  <c r="I108" i="2"/>
  <c r="J108" i="2" s="1"/>
  <c r="I102" i="2"/>
  <c r="J102" i="2" s="1"/>
  <c r="I98" i="2"/>
  <c r="J98" i="2" s="1"/>
  <c r="I94" i="2"/>
  <c r="J94" i="2" s="1"/>
  <c r="I88" i="2"/>
  <c r="J88" i="2" s="1"/>
  <c r="I81" i="2"/>
  <c r="J81" i="2" s="1"/>
  <c r="I75" i="2"/>
  <c r="J75" i="2" s="1"/>
  <c r="J71" i="2"/>
  <c r="I68" i="2"/>
  <c r="J68" i="2" s="1"/>
  <c r="I66" i="2"/>
  <c r="J66" i="2" s="1"/>
  <c r="I65" i="2"/>
  <c r="J65" i="2" s="1"/>
  <c r="I60" i="2"/>
  <c r="J60" i="2" s="1"/>
  <c r="I55" i="2"/>
  <c r="J55" i="2" s="1"/>
  <c r="I54" i="2"/>
  <c r="J54" i="2" s="1"/>
  <c r="I52" i="2"/>
  <c r="I48" i="2"/>
  <c r="J48" i="2" s="1"/>
  <c r="I44" i="2"/>
  <c r="J44" i="2" s="1"/>
  <c r="I40" i="2"/>
  <c r="J40" i="2" s="1"/>
  <c r="I35" i="2"/>
  <c r="J35" i="2" s="1"/>
  <c r="I24" i="2"/>
  <c r="J24" i="2" s="1"/>
  <c r="I22" i="2"/>
  <c r="J22" i="2" s="1"/>
  <c r="I20" i="2"/>
  <c r="I19" i="2" s="1"/>
  <c r="I14" i="2"/>
  <c r="K61" i="25" l="1"/>
  <c r="F6" i="27"/>
  <c r="F5" i="27" s="1"/>
  <c r="G27" i="27"/>
  <c r="H11" i="27"/>
  <c r="G6" i="27"/>
  <c r="H7" i="27"/>
  <c r="G7" i="27"/>
  <c r="E27" i="27"/>
  <c r="F9" i="27"/>
  <c r="L59" i="25"/>
  <c r="M59" i="25"/>
  <c r="K121" i="25"/>
  <c r="K110" i="25"/>
  <c r="K75" i="25"/>
  <c r="K19" i="25"/>
  <c r="K6" i="25" s="1"/>
  <c r="H17" i="23"/>
  <c r="G31" i="23"/>
  <c r="G163" i="5"/>
  <c r="G120" i="5"/>
  <c r="G98" i="5"/>
  <c r="G170" i="5"/>
  <c r="G133" i="5"/>
  <c r="G110" i="5"/>
  <c r="G103" i="5"/>
  <c r="G91" i="5"/>
  <c r="G88" i="5"/>
  <c r="G87" i="5" s="1"/>
  <c r="G80" i="5"/>
  <c r="G54" i="5"/>
  <c r="G14" i="5"/>
  <c r="H129" i="5"/>
  <c r="G76" i="5"/>
  <c r="G70" i="5"/>
  <c r="G64" i="5"/>
  <c r="G32" i="5"/>
  <c r="G157" i="5"/>
  <c r="G150" i="5"/>
  <c r="G143" i="5"/>
  <c r="G127" i="5"/>
  <c r="G79" i="5"/>
  <c r="G46" i="5"/>
  <c r="G36" i="5"/>
  <c r="G27" i="5"/>
  <c r="G94" i="5"/>
  <c r="G18" i="5"/>
  <c r="G22" i="5"/>
  <c r="I199" i="2"/>
  <c r="I184" i="2"/>
  <c r="I13" i="2"/>
  <c r="I21" i="2"/>
  <c r="I34" i="2"/>
  <c r="I43" i="2"/>
  <c r="I45" i="2"/>
  <c r="I59" i="2"/>
  <c r="I67" i="2"/>
  <c r="I80" i="2"/>
  <c r="I93" i="2"/>
  <c r="I101" i="2"/>
  <c r="I107" i="2"/>
  <c r="I106" i="2" s="1"/>
  <c r="I113" i="2"/>
  <c r="I121" i="2"/>
  <c r="I119" i="2" s="1"/>
  <c r="I130" i="2"/>
  <c r="I142" i="2"/>
  <c r="I147" i="2"/>
  <c r="I153" i="2"/>
  <c r="I164" i="2"/>
  <c r="I171" i="2"/>
  <c r="I176" i="2"/>
  <c r="I182" i="2"/>
  <c r="I192" i="2"/>
  <c r="I197" i="2"/>
  <c r="I206" i="2"/>
  <c r="J14" i="2"/>
  <c r="J13" i="2" s="1"/>
  <c r="J12" i="2" s="1"/>
  <c r="J11" i="2" s="1"/>
  <c r="J10" i="2" s="1"/>
  <c r="J9" i="2" s="1"/>
  <c r="J20" i="2"/>
  <c r="J201" i="2"/>
  <c r="J186" i="2"/>
  <c r="J174" i="2"/>
  <c r="I28" i="2"/>
  <c r="I39" i="2"/>
  <c r="I47" i="2"/>
  <c r="I51" i="2"/>
  <c r="I64" i="2"/>
  <c r="I70" i="2"/>
  <c r="I74" i="2"/>
  <c r="I87" i="2"/>
  <c r="I85" i="2" s="1"/>
  <c r="I97" i="2"/>
  <c r="I100" i="2"/>
  <c r="I116" i="2"/>
  <c r="I128" i="2"/>
  <c r="I135" i="2"/>
  <c r="I138" i="2"/>
  <c r="I145" i="2"/>
  <c r="I151" i="2"/>
  <c r="I157" i="2"/>
  <c r="I167" i="2"/>
  <c r="I180" i="2"/>
  <c r="I195" i="2"/>
  <c r="I211" i="2"/>
  <c r="I23" i="2"/>
  <c r="I53" i="2"/>
  <c r="I170" i="2"/>
  <c r="F14" i="2"/>
  <c r="G14" i="2"/>
  <c r="H6" i="27" l="1"/>
  <c r="G9" i="27"/>
  <c r="H9" i="27"/>
  <c r="F36" i="27"/>
  <c r="K91" i="25"/>
  <c r="K120" i="25"/>
  <c r="K109" i="25"/>
  <c r="I127" i="2"/>
  <c r="K57" i="25"/>
  <c r="K70" i="25"/>
  <c r="K46" i="25"/>
  <c r="G35" i="5"/>
  <c r="G57" i="5"/>
  <c r="G126" i="5"/>
  <c r="G75" i="5"/>
  <c r="G13" i="5"/>
  <c r="G109" i="5"/>
  <c r="G169" i="5"/>
  <c r="G119" i="5"/>
  <c r="G26" i="5"/>
  <c r="G45" i="5"/>
  <c r="G69" i="5"/>
  <c r="G62" i="5" s="1"/>
  <c r="G86" i="5"/>
  <c r="G142" i="5"/>
  <c r="G17" i="5"/>
  <c r="I50" i="2"/>
  <c r="I179" i="2"/>
  <c r="I69" i="2"/>
  <c r="I191" i="2"/>
  <c r="I150" i="2"/>
  <c r="I149" i="2" s="1"/>
  <c r="I84" i="2"/>
  <c r="I118" i="2"/>
  <c r="I178" i="2"/>
  <c r="I210" i="2"/>
  <c r="I156" i="2"/>
  <c r="I144" i="2"/>
  <c r="I134" i="2"/>
  <c r="I115" i="2"/>
  <c r="I96" i="2"/>
  <c r="I46" i="2"/>
  <c r="I141" i="2"/>
  <c r="I120" i="2"/>
  <c r="I92" i="2"/>
  <c r="I91" i="2" s="1"/>
  <c r="I58" i="2"/>
  <c r="I42" i="2"/>
  <c r="I126" i="2"/>
  <c r="I190" i="2"/>
  <c r="I49" i="2"/>
  <c r="I18" i="2"/>
  <c r="I166" i="2"/>
  <c r="I137" i="2"/>
  <c r="I99" i="2"/>
  <c r="I86" i="2"/>
  <c r="I38" i="2"/>
  <c r="I27" i="2"/>
  <c r="I205" i="2"/>
  <c r="I175" i="2"/>
  <c r="I169" i="2" s="1"/>
  <c r="I163" i="2"/>
  <c r="I112" i="2"/>
  <c r="I79" i="2"/>
  <c r="I63" i="2"/>
  <c r="I33" i="2"/>
  <c r="I12" i="2"/>
  <c r="D35" i="27"/>
  <c r="D29" i="27"/>
  <c r="D27" i="27"/>
  <c r="D26" i="27"/>
  <c r="E25" i="27"/>
  <c r="C25" i="27"/>
  <c r="E21" i="27"/>
  <c r="D21" i="27"/>
  <c r="D20" i="27"/>
  <c r="D18" i="27"/>
  <c r="E17" i="27"/>
  <c r="C17" i="27"/>
  <c r="D16" i="27"/>
  <c r="D15" i="27"/>
  <c r="C14" i="27"/>
  <c r="D12" i="27"/>
  <c r="E11" i="27"/>
  <c r="C11" i="27"/>
  <c r="D10" i="27"/>
  <c r="C9" i="27"/>
  <c r="E7" i="27"/>
  <c r="E6" i="27" s="1"/>
  <c r="D6" i="27" s="1"/>
  <c r="H17" i="27" l="1"/>
  <c r="G17" i="27"/>
  <c r="D11" i="27"/>
  <c r="C5" i="27"/>
  <c r="C36" i="27" s="1"/>
  <c r="D25" i="27"/>
  <c r="D14" i="27"/>
  <c r="D17" i="27"/>
  <c r="D9" i="27"/>
  <c r="K126" i="25"/>
  <c r="G141" i="5"/>
  <c r="G118" i="5"/>
  <c r="G44" i="5"/>
  <c r="G101" i="5"/>
  <c r="G177" i="5"/>
  <c r="I62" i="2"/>
  <c r="I61" i="2" s="1"/>
  <c r="I11" i="2"/>
  <c r="I17" i="2"/>
  <c r="I189" i="2"/>
  <c r="I148" i="2"/>
  <c r="I125" i="2"/>
  <c r="I41" i="2"/>
  <c r="I57" i="2"/>
  <c r="I95" i="2"/>
  <c r="I209" i="2"/>
  <c r="I32" i="2"/>
  <c r="I162" i="2"/>
  <c r="I78" i="2"/>
  <c r="I204" i="2"/>
  <c r="I26" i="2"/>
  <c r="I37" i="2"/>
  <c r="I140" i="2"/>
  <c r="I133" i="2" s="1"/>
  <c r="I105" i="2"/>
  <c r="I111" i="2"/>
  <c r="I155" i="2"/>
  <c r="I83" i="2"/>
  <c r="J15" i="26"/>
  <c r="I15" i="26"/>
  <c r="L16" i="26"/>
  <c r="O16" i="26" s="1"/>
  <c r="I132" i="2" l="1"/>
  <c r="I161" i="2"/>
  <c r="I90" i="2"/>
  <c r="I110" i="2"/>
  <c r="I104" i="2"/>
  <c r="I36" i="2"/>
  <c r="I25" i="2"/>
  <c r="I77" i="2"/>
  <c r="I208" i="2"/>
  <c r="I203" i="2" s="1"/>
  <c r="I56" i="2"/>
  <c r="I124" i="2"/>
  <c r="I188" i="2"/>
  <c r="I16" i="2"/>
  <c r="I10" i="2"/>
  <c r="L17" i="26"/>
  <c r="O15" i="26" l="1"/>
  <c r="O17" i="26"/>
  <c r="H5" i="27"/>
  <c r="G5" i="27"/>
  <c r="D5" i="27"/>
  <c r="D36" i="27" s="1"/>
  <c r="I202" i="2"/>
  <c r="I9" i="2"/>
  <c r="I15" i="2"/>
  <c r="I187" i="2"/>
  <c r="I31" i="2"/>
  <c r="I109" i="2"/>
  <c r="I160" i="2"/>
  <c r="I123" i="2"/>
  <c r="I76" i="2"/>
  <c r="I89" i="2"/>
  <c r="E93" i="5"/>
  <c r="J102" i="25"/>
  <c r="L102" i="25" s="1"/>
  <c r="J114" i="25"/>
  <c r="L114" i="25" s="1"/>
  <c r="I35" i="25"/>
  <c r="I36" i="25"/>
  <c r="I37" i="25"/>
  <c r="J34" i="25"/>
  <c r="L34" i="25" s="1"/>
  <c r="G34" i="25"/>
  <c r="I30" i="25"/>
  <c r="I31" i="25"/>
  <c r="L28" i="25"/>
  <c r="L38" i="25"/>
  <c r="J32" i="25"/>
  <c r="L32" i="25" s="1"/>
  <c r="J26" i="25"/>
  <c r="L26" i="25" s="1"/>
  <c r="J24" i="25"/>
  <c r="L24" i="25" s="1"/>
  <c r="J44" i="25"/>
  <c r="L44" i="25" s="1"/>
  <c r="J51" i="25"/>
  <c r="J53" i="25"/>
  <c r="L53" i="25" s="1"/>
  <c r="J55" i="25"/>
  <c r="L55" i="25" s="1"/>
  <c r="J48" i="25"/>
  <c r="L58" i="25"/>
  <c r="I73" i="25"/>
  <c r="G72" i="25"/>
  <c r="J72" i="25"/>
  <c r="I63" i="25"/>
  <c r="G62" i="25"/>
  <c r="G61" i="25" s="1"/>
  <c r="J62" i="25"/>
  <c r="L62" i="25" s="1"/>
  <c r="L95" i="25"/>
  <c r="J17" i="25"/>
  <c r="L17" i="25" s="1"/>
  <c r="J11" i="25"/>
  <c r="L11" i="25" s="1"/>
  <c r="J8" i="25"/>
  <c r="L8" i="25" s="1"/>
  <c r="G6" i="25"/>
  <c r="F122" i="5"/>
  <c r="H117" i="2"/>
  <c r="J117" i="2" s="1"/>
  <c r="J52" i="2"/>
  <c r="E22" i="23"/>
  <c r="E18" i="23"/>
  <c r="L51" i="25" l="1"/>
  <c r="J50" i="25"/>
  <c r="L72" i="25"/>
  <c r="J71" i="25"/>
  <c r="L48" i="25"/>
  <c r="J47" i="25"/>
  <c r="H36" i="27"/>
  <c r="G36" i="27"/>
  <c r="I62" i="25"/>
  <c r="M62" i="25"/>
  <c r="J7" i="25"/>
  <c r="M8" i="25"/>
  <c r="J16" i="25"/>
  <c r="L16" i="25" s="1"/>
  <c r="M17" i="25"/>
  <c r="M72" i="25"/>
  <c r="M55" i="25"/>
  <c r="M51" i="25"/>
  <c r="M26" i="25"/>
  <c r="M38" i="25"/>
  <c r="M102" i="25"/>
  <c r="M95" i="25"/>
  <c r="M58" i="25"/>
  <c r="M48" i="25"/>
  <c r="M53" i="25"/>
  <c r="J43" i="25"/>
  <c r="L43" i="25" s="1"/>
  <c r="M44" i="25"/>
  <c r="M24" i="25"/>
  <c r="M32" i="25"/>
  <c r="M28" i="25"/>
  <c r="M34" i="25"/>
  <c r="M114" i="25"/>
  <c r="J10" i="25"/>
  <c r="L10" i="25" s="1"/>
  <c r="M11" i="25"/>
  <c r="I122" i="5"/>
  <c r="H122" i="5"/>
  <c r="I8" i="2"/>
  <c r="I82" i="2"/>
  <c r="I159" i="2"/>
  <c r="I103" i="2"/>
  <c r="I34" i="25"/>
  <c r="L50" i="25"/>
  <c r="L47" i="25"/>
  <c r="F8" i="5"/>
  <c r="E145" i="5"/>
  <c r="E147" i="5"/>
  <c r="E149" i="5"/>
  <c r="F148" i="5"/>
  <c r="F146" i="5"/>
  <c r="F144" i="5"/>
  <c r="D148" i="5"/>
  <c r="D146" i="5"/>
  <c r="D144" i="5"/>
  <c r="E131" i="5"/>
  <c r="E132" i="5"/>
  <c r="F130" i="5"/>
  <c r="D130" i="5"/>
  <c r="E125" i="5"/>
  <c r="F124" i="5"/>
  <c r="D124" i="5"/>
  <c r="D123" i="5" s="1"/>
  <c r="F84" i="5"/>
  <c r="F39" i="5"/>
  <c r="H194" i="2"/>
  <c r="J194" i="2" s="1"/>
  <c r="L7" i="25" l="1"/>
  <c r="M47" i="25"/>
  <c r="M50" i="25"/>
  <c r="J42" i="25"/>
  <c r="L42" i="25" s="1"/>
  <c r="M43" i="25"/>
  <c r="M7" i="25"/>
  <c r="M10" i="25"/>
  <c r="M16" i="25"/>
  <c r="F83" i="5"/>
  <c r="I84" i="5"/>
  <c r="H84" i="5"/>
  <c r="F123" i="5"/>
  <c r="I124" i="5"/>
  <c r="H124" i="5"/>
  <c r="I146" i="5"/>
  <c r="H146" i="5"/>
  <c r="I39" i="5"/>
  <c r="H39" i="5"/>
  <c r="I130" i="5"/>
  <c r="H130" i="5"/>
  <c r="I144" i="5"/>
  <c r="H144" i="5"/>
  <c r="I148" i="5"/>
  <c r="H148" i="5"/>
  <c r="I8" i="5"/>
  <c r="H8" i="5"/>
  <c r="I213" i="2"/>
  <c r="E123" i="5"/>
  <c r="D143" i="5"/>
  <c r="E146" i="5"/>
  <c r="F143" i="5"/>
  <c r="E148" i="5"/>
  <c r="J46" i="25"/>
  <c r="L46" i="25" s="1"/>
  <c r="E144" i="5"/>
  <c r="E130" i="5"/>
  <c r="E124" i="5"/>
  <c r="H192" i="2"/>
  <c r="G114" i="2"/>
  <c r="H113" i="2"/>
  <c r="K113" i="2" s="1"/>
  <c r="F113" i="2"/>
  <c r="F112" i="2" s="1"/>
  <c r="F111" i="2" s="1"/>
  <c r="M46" i="25" l="1"/>
  <c r="M42" i="25"/>
  <c r="E143" i="5"/>
  <c r="I143" i="5"/>
  <c r="H143" i="5"/>
  <c r="I83" i="5"/>
  <c r="H83" i="5"/>
  <c r="I123" i="5"/>
  <c r="H123" i="5"/>
  <c r="J192" i="2"/>
  <c r="K192" i="2"/>
  <c r="H112" i="2"/>
  <c r="J113" i="2"/>
  <c r="G113" i="2"/>
  <c r="H74" i="2"/>
  <c r="H72" i="2"/>
  <c r="H70" i="2"/>
  <c r="G71" i="2"/>
  <c r="G73" i="2"/>
  <c r="G75" i="2"/>
  <c r="F74" i="2"/>
  <c r="G74" i="2" s="1"/>
  <c r="F72" i="2"/>
  <c r="F70" i="2"/>
  <c r="G70" i="2" s="1"/>
  <c r="H53" i="2"/>
  <c r="G54" i="2"/>
  <c r="G55" i="2"/>
  <c r="F53" i="2"/>
  <c r="H128" i="2"/>
  <c r="G131" i="2"/>
  <c r="F130" i="2"/>
  <c r="H130" i="2"/>
  <c r="H171" i="2"/>
  <c r="G72" i="2" l="1"/>
  <c r="J171" i="2"/>
  <c r="K171" i="2"/>
  <c r="J53" i="2"/>
  <c r="K53" i="2"/>
  <c r="J72" i="2"/>
  <c r="K72" i="2"/>
  <c r="J70" i="2"/>
  <c r="K70" i="2"/>
  <c r="J74" i="2"/>
  <c r="K74" i="2"/>
  <c r="J112" i="2"/>
  <c r="K112" i="2"/>
  <c r="J128" i="2"/>
  <c r="K128" i="2"/>
  <c r="J130" i="2"/>
  <c r="K130" i="2"/>
  <c r="G112" i="2"/>
  <c r="H127" i="2"/>
  <c r="K127" i="2" s="1"/>
  <c r="H69" i="2"/>
  <c r="G53" i="2"/>
  <c r="F69" i="2"/>
  <c r="I82" i="25"/>
  <c r="G83" i="25"/>
  <c r="J76" i="25"/>
  <c r="L76" i="25" s="1"/>
  <c r="G76" i="25"/>
  <c r="J78" i="25"/>
  <c r="L78" i="25" s="1"/>
  <c r="G78" i="25"/>
  <c r="G80" i="25"/>
  <c r="G86" i="25"/>
  <c r="J89" i="25"/>
  <c r="L89" i="25" s="1"/>
  <c r="G89" i="25"/>
  <c r="G93" i="25"/>
  <c r="G97" i="25"/>
  <c r="G102" i="25"/>
  <c r="G104" i="25"/>
  <c r="G107" i="25"/>
  <c r="J107" i="25"/>
  <c r="L107" i="25" s="1"/>
  <c r="G118" i="25"/>
  <c r="G111" i="25"/>
  <c r="F76" i="2"/>
  <c r="J111" i="25"/>
  <c r="L111" i="25" s="1"/>
  <c r="J122" i="25"/>
  <c r="L122" i="25" s="1"/>
  <c r="J124" i="25"/>
  <c r="L124" i="25" s="1"/>
  <c r="H64" i="2"/>
  <c r="H87" i="2"/>
  <c r="F171" i="2"/>
  <c r="F173" i="2"/>
  <c r="H182" i="2"/>
  <c r="D29" i="23"/>
  <c r="D27" i="23"/>
  <c r="D25" i="23"/>
  <c r="D21" i="23"/>
  <c r="D17" i="23"/>
  <c r="D13" i="23"/>
  <c r="D11" i="23"/>
  <c r="D6" i="23"/>
  <c r="D31" i="23" s="1"/>
  <c r="D153" i="5"/>
  <c r="F153" i="5"/>
  <c r="D175" i="5"/>
  <c r="D174" i="5" s="1"/>
  <c r="D173" i="5" s="1"/>
  <c r="D171" i="5"/>
  <c r="D170" i="5" s="1"/>
  <c r="D169" i="5" s="1"/>
  <c r="D167" i="5"/>
  <c r="D166" i="5" s="1"/>
  <c r="D164" i="5"/>
  <c r="D163" i="5" s="1"/>
  <c r="D161" i="5"/>
  <c r="D158" i="5"/>
  <c r="D155" i="5"/>
  <c r="D151" i="5"/>
  <c r="D139" i="5"/>
  <c r="D138" i="5" s="1"/>
  <c r="D137" i="5" s="1"/>
  <c r="D136" i="5" s="1"/>
  <c r="D134" i="5"/>
  <c r="D133" i="5" s="1"/>
  <c r="D128" i="5"/>
  <c r="D121" i="5"/>
  <c r="D120" i="5" s="1"/>
  <c r="D119" i="5" s="1"/>
  <c r="D118" i="5" s="1"/>
  <c r="D116" i="5"/>
  <c r="D115" i="5" s="1"/>
  <c r="D114" i="5" s="1"/>
  <c r="D113" i="5" s="1"/>
  <c r="D111" i="5"/>
  <c r="D110" i="5" s="1"/>
  <c r="D109" i="5" s="1"/>
  <c r="D107" i="5"/>
  <c r="D106" i="5" s="1"/>
  <c r="D104" i="5"/>
  <c r="D103" i="5" s="1"/>
  <c r="D99" i="5"/>
  <c r="D98" i="5" s="1"/>
  <c r="D96" i="5"/>
  <c r="D95" i="5" s="1"/>
  <c r="D92" i="5"/>
  <c r="D91" i="5" s="1"/>
  <c r="D89" i="5"/>
  <c r="D88" i="5" s="1"/>
  <c r="D81" i="5"/>
  <c r="D80" i="5" s="1"/>
  <c r="D79" i="5" s="1"/>
  <c r="D77" i="5"/>
  <c r="D76" i="5" s="1"/>
  <c r="D75" i="5" s="1"/>
  <c r="D73" i="5"/>
  <c r="D71" i="5"/>
  <c r="D70" i="5" s="1"/>
  <c r="D67" i="5"/>
  <c r="D65" i="5"/>
  <c r="D64" i="5" s="1"/>
  <c r="D63" i="5"/>
  <c r="D60" i="5"/>
  <c r="D59" i="5" s="1"/>
  <c r="D55" i="5"/>
  <c r="D54" i="5" s="1"/>
  <c r="D52" i="5"/>
  <c r="D50" i="5"/>
  <c r="D47" i="5"/>
  <c r="D42" i="5"/>
  <c r="D41" i="5" s="1"/>
  <c r="D37" i="5"/>
  <c r="D36" i="5" s="1"/>
  <c r="D33" i="5"/>
  <c r="D32" i="5" s="1"/>
  <c r="D26" i="5" s="1"/>
  <c r="D30" i="5"/>
  <c r="D28" i="5"/>
  <c r="D24" i="5"/>
  <c r="D23" i="5" s="1"/>
  <c r="D20" i="5"/>
  <c r="D19" i="5" s="1"/>
  <c r="D15" i="5"/>
  <c r="D14" i="5" s="1"/>
  <c r="D13" i="5" s="1"/>
  <c r="D11" i="5"/>
  <c r="D9" i="5"/>
  <c r="D8" i="5"/>
  <c r="D7" i="5" s="1"/>
  <c r="F129" i="2"/>
  <c r="F142" i="2"/>
  <c r="F141" i="2" s="1"/>
  <c r="F140" i="2" s="1"/>
  <c r="F145" i="2"/>
  <c r="F144" i="2" s="1"/>
  <c r="F147" i="2"/>
  <c r="F157" i="2"/>
  <c r="F156" i="2" s="1"/>
  <c r="F167" i="2"/>
  <c r="F166" i="2" s="1"/>
  <c r="F164" i="2"/>
  <c r="F163" i="2" s="1"/>
  <c r="F182" i="2"/>
  <c r="F180" i="2"/>
  <c r="F192" i="2"/>
  <c r="F191" i="2" s="1"/>
  <c r="F190" i="2" s="1"/>
  <c r="F189" i="2" s="1"/>
  <c r="F188" i="2" s="1"/>
  <c r="F187" i="2" s="1"/>
  <c r="F138" i="2"/>
  <c r="F137" i="2" s="1"/>
  <c r="H138" i="2"/>
  <c r="K138" i="2" s="1"/>
  <c r="H135" i="2"/>
  <c r="F135" i="2"/>
  <c r="F134" i="2" s="1"/>
  <c r="F107" i="2"/>
  <c r="G88" i="2"/>
  <c r="F87" i="2"/>
  <c r="F86" i="2" s="1"/>
  <c r="F51" i="2"/>
  <c r="F39" i="2"/>
  <c r="F38" i="2" s="1"/>
  <c r="F37" i="2" s="1"/>
  <c r="F36" i="2" s="1"/>
  <c r="F34" i="2"/>
  <c r="F33" i="2" s="1"/>
  <c r="F32" i="2" s="1"/>
  <c r="F29" i="2"/>
  <c r="F28" i="2" s="1"/>
  <c r="F27" i="2" s="1"/>
  <c r="F26" i="2" s="1"/>
  <c r="F25" i="2" s="1"/>
  <c r="F23" i="2"/>
  <c r="F21" i="2"/>
  <c r="M122" i="25" l="1"/>
  <c r="M89" i="25"/>
  <c r="M124" i="25"/>
  <c r="M111" i="25"/>
  <c r="M107" i="25"/>
  <c r="M78" i="25"/>
  <c r="M76" i="25"/>
  <c r="I107" i="25"/>
  <c r="D157" i="5"/>
  <c r="I153" i="5"/>
  <c r="H153" i="5"/>
  <c r="J87" i="2"/>
  <c r="K87" i="2"/>
  <c r="J182" i="2"/>
  <c r="K182" i="2"/>
  <c r="J64" i="2"/>
  <c r="K64" i="2"/>
  <c r="J69" i="2"/>
  <c r="K69" i="2"/>
  <c r="J135" i="2"/>
  <c r="K135" i="2"/>
  <c r="H126" i="2"/>
  <c r="K126" i="2" s="1"/>
  <c r="J127" i="2"/>
  <c r="H137" i="2"/>
  <c r="J138" i="2"/>
  <c r="D69" i="5"/>
  <c r="D62" i="5" s="1"/>
  <c r="D18" i="5"/>
  <c r="D22" i="5"/>
  <c r="D35" i="5"/>
  <c r="D17" i="5" s="1"/>
  <c r="D46" i="5"/>
  <c r="D45" i="5" s="1"/>
  <c r="D44" i="5" s="1"/>
  <c r="D58" i="5"/>
  <c r="D57" i="5" s="1"/>
  <c r="D127" i="5"/>
  <c r="D126" i="5" s="1"/>
  <c r="J121" i="25"/>
  <c r="L121" i="25" s="1"/>
  <c r="G92" i="25"/>
  <c r="G91" i="25" s="1"/>
  <c r="G85" i="25"/>
  <c r="G75" i="25"/>
  <c r="F170" i="2"/>
  <c r="F169" i="2" s="1"/>
  <c r="D94" i="5"/>
  <c r="F162" i="2"/>
  <c r="F128" i="2"/>
  <c r="F127" i="2" s="1"/>
  <c r="F126" i="2" s="1"/>
  <c r="F125" i="2" s="1"/>
  <c r="F124" i="2" s="1"/>
  <c r="G69" i="2"/>
  <c r="F62" i="2"/>
  <c r="F50" i="2"/>
  <c r="F49" i="2" s="1"/>
  <c r="F31" i="2" s="1"/>
  <c r="F8" i="2" s="1"/>
  <c r="F85" i="2"/>
  <c r="F84" i="2" s="1"/>
  <c r="F83" i="2" s="1"/>
  <c r="F106" i="2"/>
  <c r="F105" i="2" s="1"/>
  <c r="F104" i="2" s="1"/>
  <c r="D87" i="5"/>
  <c r="G87" i="2"/>
  <c r="H86" i="2"/>
  <c r="K86" i="2" s="1"/>
  <c r="F179" i="2"/>
  <c r="F178" i="2" s="1"/>
  <c r="G110" i="25"/>
  <c r="G109" i="25" s="1"/>
  <c r="G126" i="25" s="1"/>
  <c r="D150" i="5"/>
  <c r="D102" i="5"/>
  <c r="D101" i="5" s="1"/>
  <c r="F133" i="2"/>
  <c r="F132" i="2" s="1"/>
  <c r="F123" i="2" s="1"/>
  <c r="I18" i="26"/>
  <c r="J13" i="26"/>
  <c r="J120" i="25" l="1"/>
  <c r="L120" i="25" s="1"/>
  <c r="M121" i="25"/>
  <c r="J137" i="2"/>
  <c r="K137" i="2"/>
  <c r="G137" i="2"/>
  <c r="G86" i="2"/>
  <c r="H85" i="2"/>
  <c r="J86" i="2"/>
  <c r="H125" i="2"/>
  <c r="K125" i="2" s="1"/>
  <c r="J126" i="2"/>
  <c r="D86" i="5"/>
  <c r="D142" i="5"/>
  <c r="D141" i="5" s="1"/>
  <c r="F103" i="2"/>
  <c r="F161" i="2"/>
  <c r="F160" i="2" s="1"/>
  <c r="F159" i="2" s="1"/>
  <c r="H134" i="2"/>
  <c r="M120" i="25" l="1"/>
  <c r="J85" i="2"/>
  <c r="K85" i="2"/>
  <c r="J134" i="2"/>
  <c r="K134" i="2"/>
  <c r="H124" i="2"/>
  <c r="K124" i="2" s="1"/>
  <c r="J125" i="2"/>
  <c r="D177" i="5"/>
  <c r="F213" i="2"/>
  <c r="J80" i="25"/>
  <c r="L80" i="25" s="1"/>
  <c r="E84" i="5"/>
  <c r="E83" i="5" s="1"/>
  <c r="E85" i="5"/>
  <c r="M80" i="25" l="1"/>
  <c r="J124" i="2"/>
  <c r="G124" i="2"/>
  <c r="G136" i="2"/>
  <c r="I84" i="25"/>
  <c r="J83" i="25"/>
  <c r="L83" i="25" s="1"/>
  <c r="I79" i="25"/>
  <c r="I78" i="25"/>
  <c r="I77" i="25"/>
  <c r="I76" i="25"/>
  <c r="I49" i="25"/>
  <c r="I48" i="25"/>
  <c r="H49" i="25"/>
  <c r="J22" i="25"/>
  <c r="L22" i="25" s="1"/>
  <c r="J20" i="25"/>
  <c r="L20" i="25" s="1"/>
  <c r="M22" i="25" l="1"/>
  <c r="J75" i="25"/>
  <c r="L75" i="25" s="1"/>
  <c r="M83" i="25"/>
  <c r="M20" i="25"/>
  <c r="J19" i="25"/>
  <c r="I83" i="25"/>
  <c r="G134" i="2"/>
  <c r="G135" i="2"/>
  <c r="L19" i="25" l="1"/>
  <c r="J6" i="25"/>
  <c r="M75" i="25"/>
  <c r="M19" i="25"/>
  <c r="G146" i="2"/>
  <c r="G145" i="2" s="1"/>
  <c r="H145" i="2"/>
  <c r="G139" i="2"/>
  <c r="M6" i="25" l="1"/>
  <c r="L6" i="25"/>
  <c r="J145" i="2"/>
  <c r="K145" i="2"/>
  <c r="H144" i="2"/>
  <c r="K144" i="2" s="1"/>
  <c r="G138" i="2"/>
  <c r="J104" i="25"/>
  <c r="L104" i="25" s="1"/>
  <c r="M104" i="25" l="1"/>
  <c r="G144" i="2"/>
  <c r="J144" i="2"/>
  <c r="G183" i="2"/>
  <c r="G182" i="2" s="1"/>
  <c r="I74" i="25" l="1"/>
  <c r="I81" i="25"/>
  <c r="E61" i="5"/>
  <c r="E60" i="5" s="1"/>
  <c r="F65" i="5"/>
  <c r="E66" i="5"/>
  <c r="E65" i="5" s="1"/>
  <c r="E64" i="5" s="1"/>
  <c r="F67" i="5"/>
  <c r="E68" i="5"/>
  <c r="E67" i="5" s="1"/>
  <c r="E74" i="5"/>
  <c r="E73" i="5" s="1"/>
  <c r="E172" i="5"/>
  <c r="E171" i="5" s="1"/>
  <c r="E170" i="5" s="1"/>
  <c r="E169" i="5" s="1"/>
  <c r="H147" i="2"/>
  <c r="L71" i="25" l="1"/>
  <c r="I67" i="5"/>
  <c r="H67" i="5"/>
  <c r="F64" i="5"/>
  <c r="I65" i="5"/>
  <c r="H65" i="5"/>
  <c r="J147" i="2"/>
  <c r="K147" i="2"/>
  <c r="I72" i="25"/>
  <c r="E10" i="5"/>
  <c r="E9" i="5" s="1"/>
  <c r="E12" i="5"/>
  <c r="E11" i="5" s="1"/>
  <c r="F11" i="5"/>
  <c r="F9" i="5"/>
  <c r="F171" i="5"/>
  <c r="F7" i="5"/>
  <c r="E97" i="5"/>
  <c r="E96" i="5" s="1"/>
  <c r="E95" i="5" s="1"/>
  <c r="F96" i="5"/>
  <c r="F92" i="5"/>
  <c r="F60" i="5"/>
  <c r="F73" i="5"/>
  <c r="F63" i="5"/>
  <c r="E40" i="5"/>
  <c r="E39" i="5" s="1"/>
  <c r="M71" i="25" l="1"/>
  <c r="I73" i="5"/>
  <c r="H73" i="5"/>
  <c r="F91" i="5"/>
  <c r="I92" i="5"/>
  <c r="H92" i="5"/>
  <c r="E92" i="5"/>
  <c r="F170" i="5"/>
  <c r="I171" i="5"/>
  <c r="H171" i="5"/>
  <c r="I11" i="5"/>
  <c r="H11" i="5"/>
  <c r="I63" i="5"/>
  <c r="H63" i="5"/>
  <c r="F59" i="5"/>
  <c r="F58" i="5" s="1"/>
  <c r="I60" i="5"/>
  <c r="H60" i="5"/>
  <c r="F95" i="5"/>
  <c r="I96" i="5"/>
  <c r="H96" i="5"/>
  <c r="I7" i="5"/>
  <c r="H7" i="5"/>
  <c r="I9" i="5"/>
  <c r="H9" i="5"/>
  <c r="I64" i="5"/>
  <c r="H64" i="5"/>
  <c r="E63" i="5"/>
  <c r="E8" i="5"/>
  <c r="I69" i="25"/>
  <c r="I68" i="25" s="1"/>
  <c r="I67" i="25" s="1"/>
  <c r="J68" i="25"/>
  <c r="L68" i="25" s="1"/>
  <c r="J118" i="25"/>
  <c r="L118" i="25" s="1"/>
  <c r="M118" i="25" l="1"/>
  <c r="J67" i="25"/>
  <c r="L67" i="25" s="1"/>
  <c r="M68" i="25"/>
  <c r="I95" i="5"/>
  <c r="H95" i="5"/>
  <c r="F169" i="5"/>
  <c r="I170" i="5"/>
  <c r="H170" i="5"/>
  <c r="I91" i="5"/>
  <c r="H91" i="5"/>
  <c r="E91" i="5"/>
  <c r="I58" i="5"/>
  <c r="H58" i="5"/>
  <c r="E59" i="5"/>
  <c r="I59" i="5"/>
  <c r="H59" i="5"/>
  <c r="F57" i="5"/>
  <c r="E58" i="5"/>
  <c r="E57" i="5" s="1"/>
  <c r="J97" i="25"/>
  <c r="L97" i="25" s="1"/>
  <c r="I106" i="25"/>
  <c r="I71" i="25"/>
  <c r="I90" i="25"/>
  <c r="I89" i="25" s="1"/>
  <c r="J86" i="25"/>
  <c r="I88" i="25"/>
  <c r="I87" i="25"/>
  <c r="I58" i="25"/>
  <c r="I60" i="25"/>
  <c r="I59" i="25" s="1"/>
  <c r="I56" i="25"/>
  <c r="I55" i="25"/>
  <c r="I27" i="25"/>
  <c r="I26" i="25"/>
  <c r="L86" i="25" l="1"/>
  <c r="J85" i="25"/>
  <c r="M97" i="25"/>
  <c r="I86" i="25"/>
  <c r="M86" i="25"/>
  <c r="M67" i="25"/>
  <c r="I57" i="5"/>
  <c r="H57" i="5"/>
  <c r="I169" i="5"/>
  <c r="H169" i="5"/>
  <c r="L85" i="25"/>
  <c r="G152" i="2"/>
  <c r="G151" i="2" s="1"/>
  <c r="G154" i="2"/>
  <c r="G153" i="2" s="1"/>
  <c r="G158" i="2"/>
  <c r="H157" i="2"/>
  <c r="H153" i="2"/>
  <c r="H151" i="2"/>
  <c r="G128" i="2"/>
  <c r="G127" i="2" s="1"/>
  <c r="G126" i="2"/>
  <c r="G130" i="2"/>
  <c r="G129" i="2" s="1"/>
  <c r="G122" i="2"/>
  <c r="G121" i="2" s="1"/>
  <c r="G120" i="2" s="1"/>
  <c r="G119" i="2" s="1"/>
  <c r="G118" i="2" s="1"/>
  <c r="G48" i="2"/>
  <c r="G47" i="2" s="1"/>
  <c r="G46" i="2" s="1"/>
  <c r="G45" i="2" s="1"/>
  <c r="J70" i="25" l="1"/>
  <c r="M85" i="25"/>
  <c r="J157" i="2"/>
  <c r="K157" i="2"/>
  <c r="J153" i="2"/>
  <c r="K153" i="2"/>
  <c r="J151" i="2"/>
  <c r="K151" i="2"/>
  <c r="I6" i="25"/>
  <c r="H150" i="2"/>
  <c r="K150" i="2" s="1"/>
  <c r="G157" i="2"/>
  <c r="G156" i="2" s="1"/>
  <c r="G155" i="2" s="1"/>
  <c r="H156" i="2"/>
  <c r="K156" i="2" s="1"/>
  <c r="G108" i="2"/>
  <c r="G107" i="2" s="1"/>
  <c r="H107" i="2"/>
  <c r="I70" i="25" l="1"/>
  <c r="L70" i="25"/>
  <c r="M70" i="25"/>
  <c r="H106" i="2"/>
  <c r="K106" i="2" s="1"/>
  <c r="K107" i="2"/>
  <c r="J107" i="2"/>
  <c r="H155" i="2"/>
  <c r="J156" i="2"/>
  <c r="G150" i="2"/>
  <c r="J150" i="2"/>
  <c r="H149" i="2"/>
  <c r="K149" i="2" s="1"/>
  <c r="G106" i="2"/>
  <c r="G105" i="2" s="1"/>
  <c r="G102" i="2"/>
  <c r="G101" i="2" s="1"/>
  <c r="G100" i="2" s="1"/>
  <c r="G99" i="2" s="1"/>
  <c r="J106" i="2" l="1"/>
  <c r="J155" i="2"/>
  <c r="K155" i="2"/>
  <c r="G149" i="2"/>
  <c r="J149" i="2"/>
  <c r="H148" i="2"/>
  <c r="K148" i="2" s="1"/>
  <c r="G104" i="2"/>
  <c r="G125" i="2"/>
  <c r="F21" i="23"/>
  <c r="F17" i="23"/>
  <c r="F13" i="23"/>
  <c r="H121" i="2"/>
  <c r="D122" i="2"/>
  <c r="H105" i="2"/>
  <c r="K105" i="2" s="1"/>
  <c r="H116" i="2"/>
  <c r="K116" i="2" s="1"/>
  <c r="H101" i="2"/>
  <c r="H100" i="2"/>
  <c r="K100" i="2" s="1"/>
  <c r="H47" i="2"/>
  <c r="K47" i="2" s="1"/>
  <c r="H45" i="2"/>
  <c r="J101" i="2" l="1"/>
  <c r="K101" i="2"/>
  <c r="J45" i="2"/>
  <c r="K45" i="2"/>
  <c r="J121" i="2"/>
  <c r="K121" i="2"/>
  <c r="H46" i="2"/>
  <c r="J47" i="2"/>
  <c r="H99" i="2"/>
  <c r="J100" i="2"/>
  <c r="H115" i="2"/>
  <c r="H111" i="2" s="1"/>
  <c r="K111" i="2" s="1"/>
  <c r="J116" i="2"/>
  <c r="H104" i="2"/>
  <c r="J105" i="2"/>
  <c r="G148" i="2"/>
  <c r="J148" i="2"/>
  <c r="H119" i="2"/>
  <c r="K119" i="2" s="1"/>
  <c r="H120" i="2"/>
  <c r="L18" i="26"/>
  <c r="J18" i="26" l="1"/>
  <c r="O18" i="26"/>
  <c r="J104" i="2"/>
  <c r="K104" i="2"/>
  <c r="J115" i="2"/>
  <c r="K115" i="2"/>
  <c r="J99" i="2"/>
  <c r="K99" i="2"/>
  <c r="J46" i="2"/>
  <c r="K46" i="2"/>
  <c r="J120" i="2"/>
  <c r="K120" i="2"/>
  <c r="H118" i="2"/>
  <c r="J119" i="2"/>
  <c r="H110" i="2"/>
  <c r="K110" i="2" s="1"/>
  <c r="J111" i="2"/>
  <c r="I19" i="25"/>
  <c r="J64" i="25"/>
  <c r="L64" i="25" s="1"/>
  <c r="L93" i="25"/>
  <c r="I95" i="25"/>
  <c r="J110" i="25"/>
  <c r="L110" i="25" s="1"/>
  <c r="I14" i="25"/>
  <c r="I15" i="25"/>
  <c r="I16" i="25"/>
  <c r="I17" i="25"/>
  <c r="I18" i="25"/>
  <c r="I20" i="25"/>
  <c r="I21" i="25"/>
  <c r="I22" i="25"/>
  <c r="I23" i="25"/>
  <c r="I24" i="25"/>
  <c r="I25" i="25"/>
  <c r="I28" i="25"/>
  <c r="I29" i="25"/>
  <c r="I32" i="25"/>
  <c r="I33" i="25"/>
  <c r="I38" i="25"/>
  <c r="I39" i="25"/>
  <c r="I40" i="25"/>
  <c r="I41" i="25"/>
  <c r="I42" i="25"/>
  <c r="I43" i="25"/>
  <c r="I44" i="25"/>
  <c r="I45" i="25"/>
  <c r="I46" i="25"/>
  <c r="I47" i="25"/>
  <c r="I50" i="25"/>
  <c r="I51" i="25"/>
  <c r="I52" i="25"/>
  <c r="I53" i="25"/>
  <c r="I54" i="25"/>
  <c r="I65" i="25"/>
  <c r="I66" i="25"/>
  <c r="I75" i="25"/>
  <c r="I80" i="25"/>
  <c r="I85" i="25"/>
  <c r="I94" i="25"/>
  <c r="I96" i="25"/>
  <c r="I97" i="25"/>
  <c r="I98" i="25"/>
  <c r="I99" i="25"/>
  <c r="I100" i="25"/>
  <c r="I101" i="25"/>
  <c r="I102" i="25"/>
  <c r="I103" i="25"/>
  <c r="I104" i="25"/>
  <c r="I105" i="25"/>
  <c r="I108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F29" i="23"/>
  <c r="F27" i="23"/>
  <c r="F25" i="23"/>
  <c r="F6" i="23"/>
  <c r="F11" i="23"/>
  <c r="E7" i="23"/>
  <c r="E8" i="23"/>
  <c r="E9" i="23"/>
  <c r="E10" i="23"/>
  <c r="E12" i="23"/>
  <c r="E14" i="23"/>
  <c r="E15" i="23"/>
  <c r="E19" i="23"/>
  <c r="E23" i="23"/>
  <c r="E24" i="23"/>
  <c r="E26" i="23"/>
  <c r="E28" i="23"/>
  <c r="E30" i="23"/>
  <c r="F15" i="5"/>
  <c r="F175" i="5"/>
  <c r="F167" i="5"/>
  <c r="F164" i="5"/>
  <c r="F161" i="5"/>
  <c r="F158" i="5"/>
  <c r="F155" i="5"/>
  <c r="F151" i="5"/>
  <c r="F139" i="5"/>
  <c r="F134" i="5"/>
  <c r="F128" i="5"/>
  <c r="F121" i="5"/>
  <c r="F116" i="5"/>
  <c r="F111" i="5"/>
  <c r="F107" i="5"/>
  <c r="F104" i="5"/>
  <c r="F99" i="5"/>
  <c r="F89" i="5"/>
  <c r="F81" i="5"/>
  <c r="F77" i="5"/>
  <c r="F71" i="5"/>
  <c r="F55" i="5"/>
  <c r="F52" i="5"/>
  <c r="F47" i="5"/>
  <c r="F50" i="5"/>
  <c r="F42" i="5"/>
  <c r="F37" i="5"/>
  <c r="F24" i="5"/>
  <c r="F20" i="5"/>
  <c r="F33" i="5"/>
  <c r="F28" i="5"/>
  <c r="F30" i="5"/>
  <c r="E16" i="5"/>
  <c r="E21" i="5"/>
  <c r="E25" i="5"/>
  <c r="E29" i="5"/>
  <c r="E31" i="5"/>
  <c r="E34" i="5"/>
  <c r="E38" i="5"/>
  <c r="E43" i="5"/>
  <c r="E48" i="5"/>
  <c r="E49" i="5"/>
  <c r="E51" i="5"/>
  <c r="E53" i="5"/>
  <c r="E56" i="5"/>
  <c r="E72" i="5"/>
  <c r="E78" i="5"/>
  <c r="E82" i="5"/>
  <c r="E90" i="5"/>
  <c r="E100" i="5"/>
  <c r="E105" i="5"/>
  <c r="E108" i="5"/>
  <c r="E112" i="5"/>
  <c r="E117" i="5"/>
  <c r="E122" i="5"/>
  <c r="E129" i="5"/>
  <c r="E135" i="5"/>
  <c r="E140" i="5"/>
  <c r="E152" i="5"/>
  <c r="E154" i="5"/>
  <c r="E156" i="5"/>
  <c r="E159" i="5"/>
  <c r="E160" i="5"/>
  <c r="E162" i="5"/>
  <c r="E165" i="5"/>
  <c r="E168" i="5"/>
  <c r="E176" i="5"/>
  <c r="M64" i="25" l="1"/>
  <c r="I93" i="25"/>
  <c r="M93" i="25"/>
  <c r="J109" i="25"/>
  <c r="L109" i="25" s="1"/>
  <c r="M110" i="25"/>
  <c r="H27" i="23"/>
  <c r="H29" i="23"/>
  <c r="I29" i="23"/>
  <c r="F31" i="23"/>
  <c r="H31" i="23" s="1"/>
  <c r="I30" i="5"/>
  <c r="H30" i="5"/>
  <c r="F32" i="5"/>
  <c r="I33" i="5"/>
  <c r="H33" i="5"/>
  <c r="F23" i="5"/>
  <c r="I24" i="5"/>
  <c r="H24" i="5"/>
  <c r="F41" i="5"/>
  <c r="I42" i="5"/>
  <c r="H42" i="5"/>
  <c r="I47" i="5"/>
  <c r="H47" i="5"/>
  <c r="F54" i="5"/>
  <c r="I55" i="5"/>
  <c r="H55" i="5"/>
  <c r="F76" i="5"/>
  <c r="I77" i="5"/>
  <c r="H77" i="5"/>
  <c r="F88" i="5"/>
  <c r="F87" i="5" s="1"/>
  <c r="I89" i="5"/>
  <c r="H89" i="5"/>
  <c r="F98" i="5"/>
  <c r="I99" i="5"/>
  <c r="H99" i="5"/>
  <c r="F103" i="5"/>
  <c r="I104" i="5"/>
  <c r="H104" i="5"/>
  <c r="F110" i="5"/>
  <c r="I111" i="5"/>
  <c r="H111" i="5"/>
  <c r="F120" i="5"/>
  <c r="I121" i="5"/>
  <c r="H121" i="5"/>
  <c r="F133" i="5"/>
  <c r="I134" i="5"/>
  <c r="H134" i="5"/>
  <c r="I151" i="5"/>
  <c r="H151" i="5"/>
  <c r="I158" i="5"/>
  <c r="H158" i="5"/>
  <c r="F163" i="5"/>
  <c r="I164" i="5"/>
  <c r="H164" i="5"/>
  <c r="F174" i="5"/>
  <c r="I175" i="5"/>
  <c r="H175" i="5"/>
  <c r="F27" i="5"/>
  <c r="I28" i="5"/>
  <c r="H28" i="5"/>
  <c r="F19" i="5"/>
  <c r="I20" i="5"/>
  <c r="H20" i="5"/>
  <c r="F36" i="5"/>
  <c r="I37" i="5"/>
  <c r="H37" i="5"/>
  <c r="I50" i="5"/>
  <c r="H50" i="5"/>
  <c r="I52" i="5"/>
  <c r="H52" i="5"/>
  <c r="F70" i="5"/>
  <c r="I71" i="5"/>
  <c r="H71" i="5"/>
  <c r="F80" i="5"/>
  <c r="I81" i="5"/>
  <c r="H81" i="5"/>
  <c r="F106" i="5"/>
  <c r="I107" i="5"/>
  <c r="H107" i="5"/>
  <c r="F115" i="5"/>
  <c r="I116" i="5"/>
  <c r="H116" i="5"/>
  <c r="F127" i="5"/>
  <c r="I128" i="5"/>
  <c r="H128" i="5"/>
  <c r="F138" i="5"/>
  <c r="I139" i="5"/>
  <c r="H139" i="5"/>
  <c r="I155" i="5"/>
  <c r="H155" i="5"/>
  <c r="I161" i="5"/>
  <c r="H161" i="5"/>
  <c r="F166" i="5"/>
  <c r="I167" i="5"/>
  <c r="H167" i="5"/>
  <c r="F14" i="5"/>
  <c r="I15" i="5"/>
  <c r="H15" i="5"/>
  <c r="J118" i="2"/>
  <c r="K118" i="2"/>
  <c r="H109" i="2"/>
  <c r="K109" i="2" s="1"/>
  <c r="J110" i="2"/>
  <c r="F126" i="5"/>
  <c r="F46" i="5"/>
  <c r="J61" i="25"/>
  <c r="L61" i="25" s="1"/>
  <c r="F150" i="5"/>
  <c r="F22" i="5"/>
  <c r="J92" i="25"/>
  <c r="L92" i="25" s="1"/>
  <c r="F157" i="5"/>
  <c r="I110" i="25"/>
  <c r="I64" i="25"/>
  <c r="I111" i="25"/>
  <c r="H142" i="2"/>
  <c r="K142" i="2" s="1"/>
  <c r="H211" i="2"/>
  <c r="K211" i="2" s="1"/>
  <c r="H206" i="2"/>
  <c r="K206" i="2" s="1"/>
  <c r="H200" i="2"/>
  <c r="K200" i="2" s="1"/>
  <c r="H197" i="2"/>
  <c r="K197" i="2" s="1"/>
  <c r="H195" i="2"/>
  <c r="H185" i="2"/>
  <c r="K185" i="2" s="1"/>
  <c r="H180" i="2"/>
  <c r="K180" i="2" s="1"/>
  <c r="H176" i="2"/>
  <c r="K176" i="2" s="1"/>
  <c r="G172" i="2"/>
  <c r="H173" i="2"/>
  <c r="K173" i="2" s="1"/>
  <c r="H164" i="2"/>
  <c r="K164" i="2" s="1"/>
  <c r="H167" i="2"/>
  <c r="K167" i="2" s="1"/>
  <c r="H97" i="2"/>
  <c r="K97" i="2" s="1"/>
  <c r="H93" i="2"/>
  <c r="K93" i="2" s="1"/>
  <c r="H80" i="2"/>
  <c r="K80" i="2" s="1"/>
  <c r="G20" i="2"/>
  <c r="G22" i="2"/>
  <c r="G24" i="2"/>
  <c r="G30" i="2"/>
  <c r="G35" i="2"/>
  <c r="G40" i="2"/>
  <c r="G44" i="2"/>
  <c r="G52" i="2"/>
  <c r="G60" i="2"/>
  <c r="G64" i="2"/>
  <c r="G65" i="2"/>
  <c r="G66" i="2"/>
  <c r="G68" i="2"/>
  <c r="G81" i="2"/>
  <c r="G93" i="2"/>
  <c r="G94" i="2"/>
  <c r="G98" i="2"/>
  <c r="G109" i="2"/>
  <c r="G110" i="2"/>
  <c r="G111" i="2"/>
  <c r="G115" i="2"/>
  <c r="G116" i="2"/>
  <c r="G117" i="2"/>
  <c r="G143" i="2"/>
  <c r="G165" i="2"/>
  <c r="G168" i="2"/>
  <c r="G174" i="2"/>
  <c r="G177" i="2"/>
  <c r="G181" i="2"/>
  <c r="G186" i="2"/>
  <c r="G193" i="2"/>
  <c r="G194" i="2"/>
  <c r="G196" i="2"/>
  <c r="G198" i="2"/>
  <c r="G201" i="2"/>
  <c r="G207" i="2"/>
  <c r="G212" i="2"/>
  <c r="H67" i="2"/>
  <c r="H59" i="2"/>
  <c r="K59" i="2" s="1"/>
  <c r="H51" i="2"/>
  <c r="H43" i="2"/>
  <c r="K43" i="2" s="1"/>
  <c r="H39" i="2"/>
  <c r="K39" i="2" s="1"/>
  <c r="H34" i="2"/>
  <c r="K34" i="2" s="1"/>
  <c r="H29" i="2"/>
  <c r="K29" i="2" s="1"/>
  <c r="H23" i="2"/>
  <c r="K23" i="2" s="1"/>
  <c r="H21" i="2"/>
  <c r="K21" i="2" s="1"/>
  <c r="H19" i="2"/>
  <c r="H13" i="2"/>
  <c r="K13" i="2" s="1"/>
  <c r="M109" i="25" l="1"/>
  <c r="J91" i="25"/>
  <c r="L91" i="25" s="1"/>
  <c r="M92" i="25"/>
  <c r="I61" i="25"/>
  <c r="M61" i="25"/>
  <c r="I31" i="23"/>
  <c r="I157" i="5"/>
  <c r="H157" i="5"/>
  <c r="I87" i="5"/>
  <c r="H87" i="5"/>
  <c r="F45" i="5"/>
  <c r="I46" i="5"/>
  <c r="H46" i="5"/>
  <c r="I102" i="5"/>
  <c r="H102" i="5"/>
  <c r="I150" i="5"/>
  <c r="H150" i="5"/>
  <c r="I126" i="5"/>
  <c r="H126" i="5"/>
  <c r="I166" i="5"/>
  <c r="H166" i="5"/>
  <c r="I127" i="5"/>
  <c r="H127" i="5"/>
  <c r="I106" i="5"/>
  <c r="H106" i="5"/>
  <c r="F79" i="5"/>
  <c r="I80" i="5"/>
  <c r="H80" i="5"/>
  <c r="F35" i="5"/>
  <c r="I36" i="5"/>
  <c r="H36" i="5"/>
  <c r="F26" i="5"/>
  <c r="I27" i="5"/>
  <c r="H27" i="5"/>
  <c r="I163" i="5"/>
  <c r="H163" i="5"/>
  <c r="F119" i="5"/>
  <c r="I120" i="5"/>
  <c r="H120" i="5"/>
  <c r="I103" i="5"/>
  <c r="H103" i="5"/>
  <c r="I88" i="5"/>
  <c r="H88" i="5"/>
  <c r="I54" i="5"/>
  <c r="H54" i="5"/>
  <c r="I23" i="5"/>
  <c r="H23" i="5"/>
  <c r="I22" i="5"/>
  <c r="H22" i="5"/>
  <c r="F13" i="5"/>
  <c r="I14" i="5"/>
  <c r="H14" i="5"/>
  <c r="F137" i="5"/>
  <c r="I138" i="5"/>
  <c r="H138" i="5"/>
  <c r="F114" i="5"/>
  <c r="I115" i="5"/>
  <c r="H115" i="5"/>
  <c r="F69" i="5"/>
  <c r="I70" i="5"/>
  <c r="H70" i="5"/>
  <c r="F18" i="5"/>
  <c r="I19" i="5"/>
  <c r="H19" i="5"/>
  <c r="F173" i="5"/>
  <c r="I174" i="5"/>
  <c r="H174" i="5"/>
  <c r="I133" i="5"/>
  <c r="H133" i="5"/>
  <c r="F109" i="5"/>
  <c r="I110" i="5"/>
  <c r="H110" i="5"/>
  <c r="F94" i="5"/>
  <c r="I98" i="5"/>
  <c r="H98" i="5"/>
  <c r="F75" i="5"/>
  <c r="I76" i="5"/>
  <c r="H76" i="5"/>
  <c r="I41" i="5"/>
  <c r="H41" i="5"/>
  <c r="I32" i="5"/>
  <c r="H32" i="5"/>
  <c r="J67" i="2"/>
  <c r="K67" i="2"/>
  <c r="J195" i="2"/>
  <c r="K195" i="2"/>
  <c r="J51" i="2"/>
  <c r="K51" i="2"/>
  <c r="J19" i="2"/>
  <c r="K19" i="2"/>
  <c r="G34" i="2"/>
  <c r="J34" i="2"/>
  <c r="H42" i="2"/>
  <c r="J43" i="2"/>
  <c r="G21" i="2"/>
  <c r="J21" i="2"/>
  <c r="G29" i="2"/>
  <c r="J29" i="2"/>
  <c r="H38" i="2"/>
  <c r="K38" i="2" s="1"/>
  <c r="J39" i="2"/>
  <c r="H79" i="2"/>
  <c r="H78" i="2" s="1"/>
  <c r="J80" i="2"/>
  <c r="H92" i="2"/>
  <c r="J93" i="2"/>
  <c r="H166" i="2"/>
  <c r="K166" i="2" s="1"/>
  <c r="J167" i="2"/>
  <c r="H170" i="2"/>
  <c r="K170" i="2" s="1"/>
  <c r="J173" i="2"/>
  <c r="H175" i="2"/>
  <c r="G175" i="2" s="1"/>
  <c r="J176" i="2"/>
  <c r="G185" i="2"/>
  <c r="J185" i="2"/>
  <c r="G197" i="2"/>
  <c r="J197" i="2"/>
  <c r="H205" i="2"/>
  <c r="H204" i="2" s="1"/>
  <c r="J206" i="2"/>
  <c r="H141" i="2"/>
  <c r="G141" i="2" s="1"/>
  <c r="J142" i="2"/>
  <c r="G23" i="2"/>
  <c r="J23" i="2"/>
  <c r="H58" i="2"/>
  <c r="K58" i="2" s="1"/>
  <c r="J59" i="2"/>
  <c r="H96" i="2"/>
  <c r="G96" i="2" s="1"/>
  <c r="J97" i="2"/>
  <c r="G164" i="2"/>
  <c r="J164" i="2"/>
  <c r="H179" i="2"/>
  <c r="G179" i="2" s="1"/>
  <c r="J180" i="2"/>
  <c r="H199" i="2"/>
  <c r="K199" i="2" s="1"/>
  <c r="J200" i="2"/>
  <c r="H210" i="2"/>
  <c r="H209" i="2" s="1"/>
  <c r="J211" i="2"/>
  <c r="J109" i="2"/>
  <c r="H103" i="2"/>
  <c r="K103" i="2" s="1"/>
  <c r="H12" i="2"/>
  <c r="K12" i="2" s="1"/>
  <c r="G13" i="2"/>
  <c r="F142" i="5"/>
  <c r="J57" i="25"/>
  <c r="L57" i="25" s="1"/>
  <c r="G180" i="2"/>
  <c r="G142" i="2"/>
  <c r="F17" i="5"/>
  <c r="H18" i="2"/>
  <c r="K18" i="2" s="1"/>
  <c r="H33" i="2"/>
  <c r="K33" i="2" s="1"/>
  <c r="H50" i="2"/>
  <c r="K50" i="2" s="1"/>
  <c r="G195" i="2"/>
  <c r="H191" i="2"/>
  <c r="K191" i="2" s="1"/>
  <c r="G206" i="2"/>
  <c r="G200" i="2"/>
  <c r="G97" i="2"/>
  <c r="H28" i="2"/>
  <c r="K28" i="2" s="1"/>
  <c r="H95" i="2"/>
  <c r="K95" i="2" s="1"/>
  <c r="H184" i="2"/>
  <c r="K184" i="2" s="1"/>
  <c r="G67" i="2"/>
  <c r="H63" i="2"/>
  <c r="I109" i="25"/>
  <c r="G59" i="2"/>
  <c r="G43" i="2"/>
  <c r="G39" i="2"/>
  <c r="G38" i="2"/>
  <c r="G19" i="2"/>
  <c r="H163" i="2"/>
  <c r="K163" i="2" s="1"/>
  <c r="G173" i="2"/>
  <c r="F118" i="5"/>
  <c r="F44" i="5"/>
  <c r="I92" i="25"/>
  <c r="G51" i="2"/>
  <c r="H140" i="2"/>
  <c r="K140" i="2" s="1"/>
  <c r="G211" i="2"/>
  <c r="G192" i="2"/>
  <c r="G176" i="2"/>
  <c r="G167" i="2"/>
  <c r="H84" i="2"/>
  <c r="G85" i="2"/>
  <c r="G79" i="2"/>
  <c r="G80" i="2"/>
  <c r="H126" i="25"/>
  <c r="H47" i="25"/>
  <c r="H46" i="25" s="1"/>
  <c r="H43" i="25"/>
  <c r="H44" i="25"/>
  <c r="H45" i="25"/>
  <c r="H42" i="25"/>
  <c r="I13" i="25"/>
  <c r="I12" i="25"/>
  <c r="I11" i="25"/>
  <c r="I10" i="25"/>
  <c r="I8" i="25"/>
  <c r="I9" i="25"/>
  <c r="I7" i="25"/>
  <c r="M91" i="25" l="1"/>
  <c r="I57" i="25"/>
  <c r="M57" i="25"/>
  <c r="M126" i="25" s="1"/>
  <c r="G205" i="2"/>
  <c r="G210" i="2"/>
  <c r="I44" i="5"/>
  <c r="H44" i="5"/>
  <c r="I75" i="5"/>
  <c r="H75" i="5"/>
  <c r="I109" i="5"/>
  <c r="H109" i="5"/>
  <c r="I18" i="5"/>
  <c r="H18" i="5"/>
  <c r="F113" i="5"/>
  <c r="I114" i="5"/>
  <c r="H114" i="5"/>
  <c r="I13" i="5"/>
  <c r="H13" i="5"/>
  <c r="I26" i="5"/>
  <c r="H26" i="5"/>
  <c r="E79" i="5"/>
  <c r="I79" i="5"/>
  <c r="H79" i="5"/>
  <c r="I45" i="5"/>
  <c r="H45" i="5"/>
  <c r="I118" i="5"/>
  <c r="H118" i="5"/>
  <c r="I17" i="5"/>
  <c r="H17" i="5"/>
  <c r="F141" i="5"/>
  <c r="I142" i="5"/>
  <c r="H142" i="5"/>
  <c r="I94" i="5"/>
  <c r="H94" i="5"/>
  <c r="I173" i="5"/>
  <c r="H173" i="5"/>
  <c r="I69" i="5"/>
  <c r="H69" i="5"/>
  <c r="F62" i="5"/>
  <c r="F136" i="5"/>
  <c r="I137" i="5"/>
  <c r="H137" i="5"/>
  <c r="I119" i="5"/>
  <c r="H119" i="5"/>
  <c r="I35" i="5"/>
  <c r="H35" i="5"/>
  <c r="F101" i="5"/>
  <c r="F86" i="5"/>
  <c r="G33" i="2"/>
  <c r="G58" i="2"/>
  <c r="J84" i="2"/>
  <c r="K84" i="2"/>
  <c r="J63" i="2"/>
  <c r="K63" i="2"/>
  <c r="J78" i="2"/>
  <c r="K78" i="2"/>
  <c r="J209" i="2"/>
  <c r="K209" i="2"/>
  <c r="J210" i="2"/>
  <c r="K210" i="2"/>
  <c r="J96" i="2"/>
  <c r="K96" i="2"/>
  <c r="J141" i="2"/>
  <c r="K141" i="2"/>
  <c r="J175" i="2"/>
  <c r="K175" i="2"/>
  <c r="K92" i="2"/>
  <c r="H91" i="2"/>
  <c r="H90" i="2" s="1"/>
  <c r="J79" i="2"/>
  <c r="K79" i="2"/>
  <c r="G42" i="2"/>
  <c r="K42" i="2"/>
  <c r="J204" i="2"/>
  <c r="K204" i="2"/>
  <c r="J205" i="2"/>
  <c r="K205" i="2"/>
  <c r="J179" i="2"/>
  <c r="K179" i="2"/>
  <c r="H133" i="2"/>
  <c r="K133" i="2" s="1"/>
  <c r="J140" i="2"/>
  <c r="H162" i="2"/>
  <c r="J163" i="2"/>
  <c r="H27" i="2"/>
  <c r="K27" i="2" s="1"/>
  <c r="J28" i="2"/>
  <c r="H190" i="2"/>
  <c r="J191" i="2"/>
  <c r="H49" i="2"/>
  <c r="K49" i="2" s="1"/>
  <c r="J50" i="2"/>
  <c r="H32" i="2"/>
  <c r="K32" i="2" s="1"/>
  <c r="J33" i="2"/>
  <c r="G103" i="2"/>
  <c r="J103" i="2"/>
  <c r="G184" i="2"/>
  <c r="J184" i="2"/>
  <c r="G95" i="2"/>
  <c r="J95" i="2"/>
  <c r="H17" i="2"/>
  <c r="J18" i="2"/>
  <c r="H11" i="2"/>
  <c r="K11" i="2" s="1"/>
  <c r="G199" i="2"/>
  <c r="J199" i="2"/>
  <c r="H57" i="2"/>
  <c r="K57" i="2" s="1"/>
  <c r="J58" i="2"/>
  <c r="H169" i="2"/>
  <c r="J170" i="2"/>
  <c r="G166" i="2"/>
  <c r="J166" i="2"/>
  <c r="G92" i="2"/>
  <c r="J92" i="2"/>
  <c r="H37" i="2"/>
  <c r="K37" i="2" s="1"/>
  <c r="J38" i="2"/>
  <c r="H41" i="2"/>
  <c r="K41" i="2" s="1"/>
  <c r="J42" i="2"/>
  <c r="G12" i="2"/>
  <c r="J126" i="25"/>
  <c r="L126" i="25" s="1"/>
  <c r="F177" i="5"/>
  <c r="G18" i="2"/>
  <c r="G28" i="2"/>
  <c r="G50" i="2"/>
  <c r="G191" i="2"/>
  <c r="G27" i="2"/>
  <c r="H62" i="2"/>
  <c r="K62" i="2" s="1"/>
  <c r="G63" i="2"/>
  <c r="H178" i="2"/>
  <c r="K178" i="2" s="1"/>
  <c r="G133" i="2"/>
  <c r="G171" i="2"/>
  <c r="I91" i="25"/>
  <c r="G140" i="2"/>
  <c r="G147" i="2"/>
  <c r="H208" i="2"/>
  <c r="K208" i="2" s="1"/>
  <c r="G209" i="2"/>
  <c r="G204" i="2"/>
  <c r="G190" i="2"/>
  <c r="G163" i="2"/>
  <c r="H83" i="2"/>
  <c r="G84" i="2"/>
  <c r="G78" i="2"/>
  <c r="H77" i="2"/>
  <c r="E21" i="23"/>
  <c r="E6" i="23"/>
  <c r="E29" i="23"/>
  <c r="E27" i="23"/>
  <c r="E25" i="23"/>
  <c r="E17" i="23"/>
  <c r="E13" i="23"/>
  <c r="E11" i="23"/>
  <c r="E37" i="5"/>
  <c r="E42" i="5"/>
  <c r="E30" i="5"/>
  <c r="E33" i="5"/>
  <c r="E50" i="5"/>
  <c r="E52" i="5"/>
  <c r="E161" i="5"/>
  <c r="E164" i="5"/>
  <c r="E163" i="5"/>
  <c r="E153" i="5"/>
  <c r="E107" i="5"/>
  <c r="E106" i="5"/>
  <c r="E71" i="5"/>
  <c r="E70" i="5"/>
  <c r="E69" i="5"/>
  <c r="E77" i="5"/>
  <c r="E76" i="5"/>
  <c r="E75" i="5"/>
  <c r="E15" i="5"/>
  <c r="E14" i="5"/>
  <c r="E13" i="5"/>
  <c r="E116" i="5"/>
  <c r="E115" i="5"/>
  <c r="E134" i="5"/>
  <c r="E133" i="5"/>
  <c r="E32" i="5"/>
  <c r="E22" i="5"/>
  <c r="E155" i="5"/>
  <c r="I126" i="25" l="1"/>
  <c r="I101" i="5"/>
  <c r="H101" i="5"/>
  <c r="I62" i="5"/>
  <c r="H62" i="5"/>
  <c r="I177" i="5"/>
  <c r="H177" i="5"/>
  <c r="I86" i="5"/>
  <c r="H86" i="5"/>
  <c r="I136" i="5"/>
  <c r="H136" i="5"/>
  <c r="I141" i="5"/>
  <c r="H141" i="5"/>
  <c r="I113" i="5"/>
  <c r="H113" i="5"/>
  <c r="G91" i="2"/>
  <c r="J90" i="2"/>
  <c r="K90" i="2"/>
  <c r="J77" i="2"/>
  <c r="K77" i="2"/>
  <c r="J169" i="2"/>
  <c r="K169" i="2"/>
  <c r="K91" i="2"/>
  <c r="J91" i="2"/>
  <c r="J83" i="2"/>
  <c r="K83" i="2"/>
  <c r="J190" i="2"/>
  <c r="K190" i="2"/>
  <c r="J162" i="2"/>
  <c r="K162" i="2"/>
  <c r="G17" i="2"/>
  <c r="K17" i="2"/>
  <c r="H189" i="2"/>
  <c r="J189" i="2" s="1"/>
  <c r="G208" i="2"/>
  <c r="J208" i="2"/>
  <c r="G178" i="2"/>
  <c r="J178" i="2"/>
  <c r="H61" i="2"/>
  <c r="K61" i="2" s="1"/>
  <c r="J62" i="2"/>
  <c r="G41" i="2"/>
  <c r="J41" i="2"/>
  <c r="J37" i="2"/>
  <c r="H36" i="2"/>
  <c r="G37" i="2"/>
  <c r="H56" i="2"/>
  <c r="K56" i="2" s="1"/>
  <c r="J57" i="2"/>
  <c r="G57" i="2"/>
  <c r="H10" i="2"/>
  <c r="K10" i="2" s="1"/>
  <c r="G11" i="2"/>
  <c r="H16" i="2"/>
  <c r="K16" i="2" s="1"/>
  <c r="J17" i="2"/>
  <c r="G32" i="2"/>
  <c r="J32" i="2"/>
  <c r="G49" i="2"/>
  <c r="J49" i="2"/>
  <c r="H26" i="2"/>
  <c r="K26" i="2" s="1"/>
  <c r="J27" i="2"/>
  <c r="H132" i="2"/>
  <c r="K132" i="2" s="1"/>
  <c r="J133" i="2"/>
  <c r="G62" i="2"/>
  <c r="H161" i="2"/>
  <c r="K161" i="2" s="1"/>
  <c r="E177" i="5"/>
  <c r="H203" i="2"/>
  <c r="G83" i="2"/>
  <c r="G189" i="2"/>
  <c r="G170" i="2"/>
  <c r="G169" i="2"/>
  <c r="E31" i="23"/>
  <c r="E175" i="5"/>
  <c r="E139" i="5"/>
  <c r="E121" i="5"/>
  <c r="E113" i="5"/>
  <c r="E114" i="5"/>
  <c r="E127" i="5"/>
  <c r="E128" i="5"/>
  <c r="E81" i="5"/>
  <c r="E88" i="5"/>
  <c r="E89" i="5"/>
  <c r="E99" i="5"/>
  <c r="E103" i="5"/>
  <c r="E104" i="5"/>
  <c r="E111" i="5"/>
  <c r="E151" i="5"/>
  <c r="E157" i="5"/>
  <c r="E158" i="5"/>
  <c r="E166" i="5"/>
  <c r="E167" i="5"/>
  <c r="E54" i="5"/>
  <c r="E55" i="5"/>
  <c r="E46" i="5"/>
  <c r="E47" i="5"/>
  <c r="E23" i="5"/>
  <c r="E24" i="5"/>
  <c r="E19" i="5"/>
  <c r="E20" i="5"/>
  <c r="E28" i="5"/>
  <c r="E41" i="5"/>
  <c r="G162" i="2"/>
  <c r="H89" i="2"/>
  <c r="G90" i="2"/>
  <c r="H76" i="2"/>
  <c r="K76" i="2" s="1"/>
  <c r="G77" i="2"/>
  <c r="E18" i="5"/>
  <c r="E126" i="5"/>
  <c r="J89" i="2" l="1"/>
  <c r="K89" i="2"/>
  <c r="H31" i="2"/>
  <c r="K31" i="2" s="1"/>
  <c r="K36" i="2"/>
  <c r="H188" i="2"/>
  <c r="K188" i="2" s="1"/>
  <c r="K189" i="2"/>
  <c r="J203" i="2"/>
  <c r="K203" i="2"/>
  <c r="J188" i="2"/>
  <c r="G76" i="2"/>
  <c r="J76" i="2"/>
  <c r="G56" i="2"/>
  <c r="J56" i="2"/>
  <c r="G36" i="2"/>
  <c r="J36" i="2"/>
  <c r="H160" i="2"/>
  <c r="J161" i="2"/>
  <c r="H123" i="2"/>
  <c r="J132" i="2"/>
  <c r="H25" i="2"/>
  <c r="K25" i="2" s="1"/>
  <c r="J26" i="2"/>
  <c r="G26" i="2"/>
  <c r="H15" i="2"/>
  <c r="K15" i="2" s="1"/>
  <c r="J16" i="2"/>
  <c r="G16" i="2"/>
  <c r="H9" i="2"/>
  <c r="K9" i="2" s="1"/>
  <c r="G10" i="2"/>
  <c r="G61" i="2"/>
  <c r="J61" i="2"/>
  <c r="G89" i="2"/>
  <c r="H82" i="2"/>
  <c r="K82" i="2" s="1"/>
  <c r="E87" i="5"/>
  <c r="E44" i="5"/>
  <c r="E45" i="5"/>
  <c r="E102" i="5"/>
  <c r="E36" i="5"/>
  <c r="E35" i="5"/>
  <c r="E27" i="5"/>
  <c r="E150" i="5"/>
  <c r="E109" i="5"/>
  <c r="E110" i="5"/>
  <c r="E94" i="5"/>
  <c r="E98" i="5"/>
  <c r="E80" i="5"/>
  <c r="E120" i="5"/>
  <c r="E138" i="5"/>
  <c r="E173" i="5"/>
  <c r="E174" i="5"/>
  <c r="G132" i="2"/>
  <c r="G123" i="2"/>
  <c r="G203" i="2"/>
  <c r="H202" i="2"/>
  <c r="H187" i="2" l="1"/>
  <c r="K187" i="2" s="1"/>
  <c r="G31" i="2"/>
  <c r="J31" i="2"/>
  <c r="G188" i="2"/>
  <c r="J202" i="2"/>
  <c r="K202" i="2"/>
  <c r="J160" i="2"/>
  <c r="K160" i="2"/>
  <c r="J123" i="2"/>
  <c r="K123" i="2"/>
  <c r="G187" i="2"/>
  <c r="G15" i="2"/>
  <c r="J15" i="2"/>
  <c r="G82" i="2"/>
  <c r="J82" i="2"/>
  <c r="G9" i="2"/>
  <c r="H8" i="2"/>
  <c r="K8" i="2" s="1"/>
  <c r="G25" i="2"/>
  <c r="J25" i="2"/>
  <c r="G202" i="2"/>
  <c r="G161" i="2"/>
  <c r="E136" i="5"/>
  <c r="E137" i="5"/>
  <c r="E118" i="5"/>
  <c r="E119" i="5"/>
  <c r="E62" i="5"/>
  <c r="E141" i="5"/>
  <c r="E142" i="5"/>
  <c r="E26" i="5"/>
  <c r="E101" i="5"/>
  <c r="E86" i="5"/>
  <c r="J187" i="2" l="1"/>
  <c r="J8" i="2"/>
  <c r="G8" i="2"/>
  <c r="H159" i="2"/>
  <c r="K159" i="2" s="1"/>
  <c r="G160" i="2"/>
  <c r="E17" i="5"/>
  <c r="H213" i="2" l="1"/>
  <c r="J159" i="2"/>
  <c r="G159" i="2"/>
  <c r="J213" i="2" l="1"/>
  <c r="K213" i="2"/>
  <c r="G213" i="2"/>
</calcChain>
</file>

<file path=xl/sharedStrings.xml><?xml version="1.0" encoding="utf-8"?>
<sst xmlns="http://schemas.openxmlformats.org/spreadsheetml/2006/main" count="1328" uniqueCount="359">
  <si>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</si>
  <si>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</si>
  <si>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</si>
  <si>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</si>
  <si>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</si>
  <si>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</si>
  <si>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</si>
  <si>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</si>
  <si>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</si>
  <si>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</si>
  <si>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</si>
  <si>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</si>
  <si>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</si>
  <si>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</si>
  <si>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</si>
  <si>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</si>
  <si>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</si>
  <si>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</si>
  <si>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 и кинематография</t>
  </si>
  <si>
    <t>Культура</t>
  </si>
  <si>
    <t>Физическая культура и спорт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</si>
  <si>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</si>
  <si>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</si>
  <si>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</si>
  <si>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  </t>
  </si>
  <si>
    <t>ППП</t>
  </si>
  <si>
    <t>000</t>
  </si>
  <si>
    <t>0400000</t>
  </si>
  <si>
    <t>0407061</t>
  </si>
  <si>
    <t>0500000</t>
  </si>
  <si>
    <t>0510000</t>
  </si>
  <si>
    <t>0550000</t>
  </si>
  <si>
    <t>0550059</t>
  </si>
  <si>
    <t>0552108</t>
  </si>
  <si>
    <t>0590000</t>
  </si>
  <si>
    <t>0590059</t>
  </si>
  <si>
    <t>0592108</t>
  </si>
  <si>
    <t>0515641</t>
  </si>
  <si>
    <t>0517061</t>
  </si>
  <si>
    <t>Защита населения и территории от чрезвычайных ситуаций природного и техногенного характера, гражданская оборона</t>
  </si>
  <si>
    <t>"Подпрограмма ""Организация и обеспечение мероприятий в сфере гражданской обороны, защиты населения и территории от чрезвычайных ситуаций"""</t>
  </si>
  <si>
    <t>"Подпрограмма ""Укрепление пожарной безопасности"""</t>
  </si>
  <si>
    <t>"Реализация мероприятий по укреплению пожарной безопасности в сельском поселении Свыетлый"</t>
  </si>
  <si>
    <t>Коммунальное хозяйство</t>
  </si>
  <si>
    <t>"Подпрограмма ""Обеспечение реализации государственной программы"""</t>
  </si>
  <si>
    <t>"Подпрограмма ""Регулирование качества окружающей среды"""</t>
  </si>
  <si>
    <t>"Расходы городских и сельских поселений по софинансированию муниципальных программ"</t>
  </si>
  <si>
    <t>"Иные межбюджетный трансферты, передаваемые из бюджета муниципального района в бюджеты поселений за счет субсидий из бюджета автономного округа"</t>
  </si>
  <si>
    <t> "Расходы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субсидий"</t>
  </si>
  <si>
    <t>"Реализация мероприятий по муниципальной программе ""Развитие культуры и туризма в сельском поселении Светлый"""</t>
  </si>
  <si>
    <t>"Расходы на выплаты персоналу государственных (муниципальных) органов"</t>
  </si>
  <si>
    <t>"Иные бюджетные ассигнования"</t>
  </si>
  <si>
    <t>"Уплата налогов, сборов и иных платежей"</t>
  </si>
  <si>
    <t> "Расходы городских и сельских поселений по софинансированию муниципальных программ"</t>
  </si>
  <si>
    <t>"Муниципальная программа ""Совершенствование муниципального управления сельского поселения Светлый на 2014 год и плановый период 2015-2018 годов"""</t>
  </si>
  <si>
    <t> "Подпрограмма ""Совершенствование системы управления в администрации сельского поселения Светлый """</t>
  </si>
  <si>
    <t> "Расходы на содержание главы муниципального образования"</t>
  </si>
  <si>
    <t> "Расходы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фондами"</t>
  </si>
  <si>
    <t> "Расходы на выплаты персоналу государственных (муниципальных) органов"</t>
  </si>
  <si>
    <t> "Подпрограмма ""Совершенствование системы управления в администрации сельского поселения Светлый"""</t>
  </si>
  <si>
    <t> "Расходы на обеспечение функций муниципальных органов"</t>
  </si>
  <si>
    <t> "Закупка товаров, работ и услуг для государственных (муниципальных) нужд"</t>
  </si>
  <si>
    <t> "Иные закупки товаров, работ и услуг для обеспечения государственных (муниципальных) нужд"</t>
  </si>
  <si>
    <t> "Иные бюджетные ассигнования"</t>
  </si>
  <si>
    <t> "Уплата налогов, сборов и иных платежей"</t>
  </si>
  <si>
    <t>"Муниципальная программа ""Защита населения и территорий от чрезвычайных ситуаций, обеспечение пожарной безопасности в сельском поселении Светлый на 2014 – 2020 годы"""</t>
  </si>
  <si>
    <t> "Подпрограмма ""Организация и обеспечение мероприятий в сфере гражданской обороны, защиты населения и территории  от чрезвычайных ситуаций"""</t>
  </si>
  <si>
    <t>"Управление Резервным фондом"</t>
  </si>
  <si>
    <t> "Резервные средства"</t>
  </si>
  <si>
    <t>"Муниципальная программа ""Доступная среда в сельском поселении Светлый на 2014 – 2017 годы"""</t>
  </si>
  <si>
    <t>"Муниципальная программа ""Обеспечение прав и законных интересов населения сельского поселения Светлый в отдельных сферах жизнедеятельности в 2014-2020 годах"""</t>
  </si>
  <si>
    <t> "Подпрограмма ""Профилактика правонарушений"""</t>
  </si>
  <si>
    <t> "Мероприятия по профилактике правонарушений в сфере безопасности дорожного движения"</t>
  </si>
  <si>
    <t> "Подпрограмма ""Профилактика незаконного оборота и потребления наркотических средств и психотропных веществ"""</t>
  </si>
  <si>
    <t>"Муниципальная программа «Управление муниципальным имуществом в сельском поселении Светлый на 2014-2018 годы»"</t>
  </si>
  <si>
    <t> "Реализация мероприятий муниципальной программы  «Управление муниципальным имуществом в сельском поселении Светлый на 2014-2018 годы»"</t>
  </si>
  <si>
    <t>"Муниципальная программа «О реализации государственной политики по профилактике экстремизма и развитию российского казачества в сельском поселении Светлый на 2014-2018 годы»"</t>
  </si>
  <si>
    <t> "Подпрограмма « Профилактика экстремизма»"</t>
  </si>
  <si>
    <t> "Реализация мероприятий профилактики экстремизма, гармонизации межэтнических и межкультурных отношений"</t>
  </si>
  <si>
    <t>"Прочие мероприятия органов местного самоуправления"</t>
  </si>
  <si>
    <t> "Расходы на выплаты персоналу казенных учреждений"</t>
  </si>
  <si>
    <t>"Непрограммные расходы"</t>
  </si>
  <si>
    <t> "Субвенции на осуществление первичного воинского учета на территориях , где отсутствуют военные комиссариаты (федеральный бюджет)"</t>
  </si>
  <si>
    <t xml:space="preserve">"Реализация мероприятий муниципальной программы ""Защита населения и территорий от чрезвычайных ситуаций, обеспечение пожарной безопасности в сельском поселении Светлый на 2014-2020 годы""" </t>
  </si>
  <si>
    <t>"Муниципальная программа «Информационное общество сельского поселения Светлый на 2014-2018 годы»"</t>
  </si>
  <si>
    <t> "Подпрограмма «Развитие информационного сообщества и обеспечение деятельности органов местного самоуправления»"</t>
  </si>
  <si>
    <t> "Услуги в области информационных технологий"</t>
  </si>
  <si>
    <t>"Муниципальная программа ""Развитие жилищно-коммунального комплекса и повышение энергетической эффективности в сельском поселении Светлый на 2014-2020 годы"""</t>
  </si>
  <si>
    <t>"Реализация мероприятий муниципальной программы ""Развитие жилищно-коммунального комплекса и повышение энергетической эффективности в сельском поселении Светлый на 2014-2020 годы"""</t>
  </si>
  <si>
    <t> "Подпрограмма ""Содействие проведению капитального ремонта многоквартирных домов"""</t>
  </si>
  <si>
    <t> "Реализация мероприятий муниципальной программы ""Развитие жилищно-коммунального комплекса и повышение энергетической эффективности в сельском поселении Светлый на 2014-2020 годы"""</t>
  </si>
  <si>
    <t>"Подпрограмма ""Повышение энергоэффективности в отраслях экономики"""</t>
  </si>
  <si>
    <t>"Муниципальная программа ""Развитие культуры и туризма в сельском поселении Светлый на 2014-2018 годы"""</t>
  </si>
  <si>
    <t> "Подпрограмма ""Обеспечение прав граждан на доступ к культурным ценностям и информации"""</t>
  </si>
  <si>
    <t> "Подпрограмма  «Библиотечное дело»"</t>
  </si>
  <si>
    <t> "Подпрограмма  «Народное творчество и традиционная культура»"</t>
  </si>
  <si>
    <t> "Реализация мероприятий по муниципальной программе ""Развитие культуры и туризма в сельском поселении Светлый"""</t>
  </si>
  <si>
    <t>"Муниципальная программа ""Развитие физической культуры, спорта и молодежной политики в сельском поселении Светлый на 2014-2018 годы"""</t>
  </si>
  <si>
    <t> "Подпрограмма ""Развитие массовой физической культуры и спорта"""</t>
  </si>
  <si>
    <t> "Реализация мероприятий муниципальной программы ""Развитие физической культуры и молодежной политике в сельском поселении Светлый на 2014–2018 годы"""</t>
  </si>
  <si>
    <t> "Расходы по переданным полномочиям поселениями"</t>
  </si>
  <si>
    <t> "Межбюджетные трансферты"</t>
  </si>
  <si>
    <t> "Иные межбюджетные трансферты"</t>
  </si>
  <si>
    <t>"Муниципальная программа ""Совершенствование муниципального управления в сельском поселении Светлый на 2014 год и плановый период 2015-2020 годов"""</t>
  </si>
  <si>
    <t>01</t>
  </si>
  <si>
    <t>02</t>
  </si>
  <si>
    <t>03</t>
  </si>
  <si>
    <t>04</t>
  </si>
  <si>
    <t>05</t>
  </si>
  <si>
    <t>08</t>
  </si>
  <si>
    <t>09</t>
  </si>
  <si>
    <t>тыс. рублей</t>
  </si>
  <si>
    <t>"Резервные средства"</t>
  </si>
  <si>
    <t>0600000</t>
  </si>
  <si>
    <t>0610000</t>
  </si>
  <si>
    <t>0610059</t>
  </si>
  <si>
    <t>0612114</t>
  </si>
  <si>
    <t>Распределение бюджетных ассигнований по разделам, подразделам классификации расходов бюджета сельского поселения Светлый на 2014 год</t>
  </si>
  <si>
    <t>00</t>
  </si>
  <si>
    <t>В том числе субвенции</t>
  </si>
  <si>
    <t> Расходы на содержание главы муниципального образования</t>
  </si>
  <si>
    <t> 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</si>
  <si>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"Совершенствование муниципального управления сельского поселения Светлый на 2014 год и плановый период 2015-2018 годов"</t>
  </si>
  <si>
    <t> Подпрограмма "Совершенствование системы управления в администрации сельского поселения Светлый "</t>
  </si>
  <si>
    <t> Расходы на выплаты персоналу государственных (муниципальных) органов</t>
  </si>
  <si>
    <t> Подпрограмма "Совершенствование системы управления в администрации сельского поселения Светлый"</t>
  </si>
  <si>
    <t> Расходы на обеспечение функций муниципальных органов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</si>
  <si>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 видов расходов классификации расходов бюджета сельского поселения Светлый в ведомственной структуре расходов на 2014 год</t>
  </si>
  <si>
    <t>0000000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</si>
  <si>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2014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</si>
  <si>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2014 год.</t>
  </si>
  <si>
    <t>"Расходы на содержание главы муниципального образования"</t>
  </si>
  <si>
    <t>2517040</t>
  </si>
  <si>
    <t>"Фонд оплаты труда государственных (муниципальных) органов и взносы по обязательному социальному страхованию"</t>
  </si>
  <si>
    <t>121</t>
  </si>
  <si>
    <t>"Расходы на обеспечение функций муниципальных органов"</t>
  </si>
  <si>
    <t>2510204</t>
  </si>
  <si>
    <t>"Иные выплаты персоналу государственных (муниципальных) органов, за исключением фонда оплаты труда"</t>
  </si>
  <si>
    <t>122</t>
  </si>
  <si>
    <t>"Прочая закупка товаров, работ и услуг для обеспечения государственных (муниципальных) нужд"</t>
  </si>
  <si>
    <t>244</t>
  </si>
  <si>
    <t>"Уплата прочих налогов, сборов и иных платежей"</t>
  </si>
  <si>
    <t>852</t>
  </si>
  <si>
    <t>"Управление Резервным фондом"</t>
  </si>
  <si>
    <t>1417020</t>
  </si>
  <si>
    <t>870</t>
  </si>
  <si>
    <t>"Мероприятия по профилактике правонарушений в сфере безопасности дорожного движения"</t>
  </si>
  <si>
    <t>1312104</t>
  </si>
  <si>
    <t>1327061</t>
  </si>
  <si>
    <t>"Реализация мероприятий муниципальной программы  «Управление муниципальным имуществом в Березовском районе на 2014-2018 годы»"</t>
  </si>
  <si>
    <t>2202119</t>
  </si>
  <si>
    <t>"Реализация мероприятий профилактики экстремизма, гармонизации межэтнических и межкультурных отношений"</t>
  </si>
  <si>
    <t>2312134</t>
  </si>
  <si>
    <t>2510240</t>
  </si>
  <si>
    <t>"Фонд оплаты труда казенных учреждений и взносы по обязательному социальному страхованию"</t>
  </si>
  <si>
    <t>111</t>
  </si>
  <si>
    <t>"Иные выплаты персоналу казенных учреждений, за исключением фонда оплаты труда"</t>
  </si>
  <si>
    <t>112</t>
  </si>
  <si>
    <t>"Субвенции на осуществление первичного воинского учета на территориях , где отсутствуют военные комиссариаты (федеральный бюджет)"</t>
  </si>
  <si>
    <t>5005118</t>
  </si>
  <si>
    <t>"Реализация мероприятий муниципальной программы ""Защита населения и территорий от чрезвычайных ситуаций, обеспечение пожарной безопасности в Березовском районе на 2014-2020 годы"""</t>
  </si>
  <si>
    <t>1412108</t>
  </si>
  <si>
    <t>"Реализация мероприятий по укрепления пожарной безопасности в Березовском районе"</t>
  </si>
  <si>
    <t>1422123</t>
  </si>
  <si>
    <t>"Услуги в области информационных технологий"</t>
  </si>
  <si>
    <t>1712128</t>
  </si>
  <si>
    <t>"Закупка товаров, работ, услуг в сфере информационно-коммуникационных технологий"</t>
  </si>
  <si>
    <t>242</t>
  </si>
  <si>
    <t>"Реализация мероприятий муниципальной программы ""Развитие жилищно-коммунального комплекса и повышение энергетической эффективности в Березовском районе на 2014-2020 годы"""</t>
  </si>
  <si>
    <t>1272108</t>
  </si>
  <si>
    <t>КУЛЬТУРА, КИНЕМАТОГРАФИЯ</t>
  </si>
  <si>
    <t>"Иные межбюджетные трансферты, передаваемые из бюджета муниципального района в бюджеты поселений за счет субсидий из бюджета автономного округа"</t>
  </si>
  <si>
    <t>"Расходы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субсидий"</t>
  </si>
  <si>
    <t>"Реализация мероприятий по муниципальной программе ""Развитие культуры и туризма в Березовском районе"""</t>
  </si>
  <si>
    <t>ФИЗИЧЕСКАЯ КУЛЬТУРА И СПОРТ</t>
  </si>
  <si>
    <t>"Реализация мероприятий муниципальной программы ""Развитие физической культуры и молодежной политике в Березовском районе"""" на 2014–2018 годы"</t>
  </si>
  <si>
    <t>МЕЖБЮДЖЕТНЫЕ ТРАНСФЕРТЫ ОБЩЕГО ХАРАКТЕРА БЮДЖЕТАМ СУБЪЕКТОВ РОССИЙСКОЙ ФЕДЕРАЦИИ И МУНИЦИПАЛЬНЫХ ОБРАЗОВАНИЙ</t>
  </si>
  <si>
    <t>"Расходы по переданным полномочиям поселениями"</t>
  </si>
  <si>
    <t>2207080</t>
  </si>
  <si>
    <t>"Иные межбюджетные трансферты"</t>
  </si>
  <si>
    <t>540</t>
  </si>
  <si>
    <t>2517080</t>
  </si>
  <si>
    <t>"Муниципальная программа ""Обеспечение экологической безопасности сельского поселения Светлый на 2014-2020 годы"""</t>
  </si>
  <si>
    <t>Уточнение</t>
  </si>
  <si>
    <t xml:space="preserve">Уточнение </t>
  </si>
  <si>
    <t>сельского поселения Светлый</t>
  </si>
  <si>
    <t>Код главного администратора</t>
  </si>
  <si>
    <t>Код группы, подгруппы, статьи и вида источника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</si>
  <si>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</si>
  <si>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Администрация сельского поселения Светлый</t>
  </si>
  <si>
    <t>01 03 00 00 00 0000 000</t>
  </si>
  <si>
    <t>Бюджетные кредиты от других бюджетов бюджетной системы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</si>
  <si>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</si>
  <si>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</si>
  <si>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01 03 00 00 10 0000 810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</si>
  <si>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</si>
  <si>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</si>
  <si>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</si>
  <si>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01 06 01 00 10 0000 630</t>
  </si>
  <si>
    <t>Средства от продажи акций и иных форм участия в капитале, находящиеся в государственной и муниципальной собственности муниципальных образований</t>
  </si>
  <si>
    <t>01 05 00 00 00 0000 000</t>
  </si>
  <si>
    <t>Изменение остатков средств на счетах по учету средств бюджета</t>
  </si>
  <si>
    <t>01 05 02 01 10 0000 510</t>
  </si>
  <si>
    <t>Увеличение прочих остатков денежных средств бюджетов</t>
  </si>
  <si>
    <t>01 05 02 01 10 0000 610</t>
  </si>
  <si>
    <t>Уменьшение прочих остатков денежных средств бюджета</t>
  </si>
  <si>
    <t>Всего источников внутреннего финансирования дефицита бюджета</t>
  </si>
  <si>
    <t>Источники внутреннего финансирования дефицита бюджета сельского поселения Светлый на 2014 год</t>
  </si>
  <si>
    <t>к решению Совета депутатов</t>
  </si>
  <si>
    <t>13</t>
  </si>
  <si>
    <t>14</t>
  </si>
  <si>
    <t>0710000</t>
  </si>
  <si>
    <t>12</t>
  </si>
  <si>
    <t>0312105</t>
  </si>
  <si>
    <t>3302108</t>
  </si>
  <si>
    <t>3300000</t>
  </si>
  <si>
    <t>"Муниципальная программа "Обеспечение экологической безопасности сельского поселения Светлый на 2014 - 2020 года""</t>
  </si>
  <si>
    <t>Расходы городских и сельских поселений по софинансированию муниципальных программ</t>
  </si>
  <si>
    <t>"Иные закупки товаров, работ и услуг для обеспечения государственных (муниципальных) нужд"</t>
  </si>
  <si>
    <t>Другие вопросы в области национальной безопасности и правоохраниетльной деятельности</t>
  </si>
  <si>
    <t>Муниципальная программа "Обеспечение прав и законных интересов населения сельского поселения Светлый в отдельных сферах жизнидеятельности в 2014-2020 годах"</t>
  </si>
  <si>
    <t>"Закупка товаров, работ и услуг для государственных (муниципальных) нужд"</t>
  </si>
  <si>
    <t>Общеэкономические вопросы</t>
  </si>
  <si>
    <t>0700000</t>
  </si>
  <si>
    <t>Другие вопросы в области национальной экономики</t>
  </si>
  <si>
    <t>Жилищное хозяство</t>
  </si>
  <si>
    <t>Муниципальная программа "Развитие жилищно-комунального комплекса и повышение энергетической эффективности в с. п. Светлый на 2014-2020 годы.</t>
  </si>
  <si>
    <t>Программа "содействие проведению капитального ремонта</t>
  </si>
  <si>
    <t>0310000</t>
  </si>
  <si>
    <t>0300000</t>
  </si>
  <si>
    <t>Подпрограмма "Дети Югры"</t>
  </si>
  <si>
    <t>Мероприятия по организации отдыха и оздоровления детей.</t>
  </si>
  <si>
    <t>Муниципальная программа "Благоустройство территории сельского послеления Светлый на 2014-2020 годы."</t>
  </si>
  <si>
    <t>Реализация мероприятий муницапальной программы "Благоустройство территории сельского поселения Светлый на 2014-2020 годы".</t>
  </si>
  <si>
    <t>Закупка товаров, работ и услуг для государственных (муниципальных) нужд</t>
  </si>
  <si>
    <t>Муниципальная программа "Содействие занятости населения в Березовском районе  на 2014-2020 годы"</t>
  </si>
  <si>
    <t>Муниципальная программа "Содействие трудоустройству граждан в Березовском районе на 2014-2020 годы 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</si>
  <si>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</si>
  <si>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казенных учреждений</t>
  </si>
  <si>
    <t>Реализация мероприятий муниципальной программы "Развитие жилищно-комунального  комплекса и повышение энергетической эффективности в Березовском районе "</t>
  </si>
  <si>
    <t>Муниципальная программа "Развитие жилищно-комунального комплекса и повышение энергетической эффективности в Березовском районе на 2014-2020 годы.</t>
  </si>
  <si>
    <t>Иные межбюджетные трансферты, передаваемые из бюджета Муниципальног района в бюджет поселения за счет субвенций из бюджета автономного округа</t>
  </si>
  <si>
    <t>Закупка товаров, работ и услуг для государственных (муниципальных) нужд"</t>
  </si>
  <si>
    <t>Иные закупки товаров, работ и услуг для обеспечения государственных (муниципальных) нужд"</t>
  </si>
  <si>
    <t>Расходы местного бюджета на софинансирование государственных программ</t>
  </si>
  <si>
    <t>Расходы на выплаты персоналу казенных учреждений"</t>
  </si>
  <si>
    <t>Субсидии юридическим лицам</t>
  </si>
  <si>
    <t>Иные закупки товаров, работ и услуг для обеспечения государственных (муниципальных) нужд</t>
  </si>
  <si>
    <t>07100000</t>
  </si>
  <si>
    <t>0715604</t>
  </si>
  <si>
    <t>"Расходы на выплаты персоналу казенных учреждений"</t>
  </si>
  <si>
    <t>Другие вопросы в области национальной безопасности и правоохранительной деятельности</t>
  </si>
  <si>
    <t>Жилищное хозяйство</t>
  </si>
  <si>
    <t>Муниципальная программа "Социальная поддержка жителей Березовского района на 2014 – 2018 годы"</t>
  </si>
  <si>
    <t>Мероприятия по организации отдыха и оздоровления детей</t>
  </si>
  <si>
    <t>Муниципальная программа "Содействие занятости населения в Березовском районе на 2014-2020 годы"</t>
  </si>
  <si>
    <t>Подпрограмма "Содействие трудоустройству граждан"</t>
  </si>
  <si>
    <t>Расходы на выплаты персоналу казенных учреждений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</si>
  <si>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</si>
  <si>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Подпрограмма "Создание условий для обеспечения качественными коммунальными услугами"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</si>
  <si>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</si>
  <si>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Муниципальная программа "Благоустройство территории сельского поселения Светлый"</t>
  </si>
  <si>
    <t>Реализация мероприятий муниципальной программы</t>
  </si>
  <si>
    <t>Мероприятия по противодействию злоупотреблению наркотиками и их незаконному обороту</t>
  </si>
  <si>
    <t>Реализация мероприятий муниципальной программы "Развитие жилищно-коммунального комплекса и повышение энергетической эффективности в Березовском районе на 2014-2020 годы"</t>
  </si>
  <si>
    <t>Закупка товаров, работ, услуг в целях капитального ремонта государственного (муниципального) имущества</t>
  </si>
  <si>
    <t>приложение 6</t>
  </si>
  <si>
    <t>Утвержденный Советом депутатов от 20.08.2014 №49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</si>
  <si>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федерального бюджета</t>
  </si>
  <si>
    <t>Утвержденый Советом депутатов от 06.11.2014 г. №56</t>
  </si>
  <si>
    <t>Утвержденный Советом депутатов от 06.11.2014 №56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</si>
  <si>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</si>
  <si>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</si>
  <si>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</si>
  <si>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</si>
  <si>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</si>
  <si>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</si>
  <si>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прочих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</si>
  <si>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</si>
  <si>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бюджета автономного округа</t>
  </si>
  <si>
    <t>Доходы бюджета сельского поселения Светлый на 2014 год</t>
  </si>
  <si>
    <t>Код бюджетной квалификации</t>
  </si>
  <si>
    <t>Доходы (Вид налога)</t>
  </si>
  <si>
    <t xml:space="preserve">Утвержденный Советом депутатов от 06.11.2014 №56    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</si>
  <si>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</si>
  <si>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</si>
  <si>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</si>
  <si>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</si>
  <si>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</si>
  <si>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</si>
  <si>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</si>
  <si>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</si>
  <si>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</si>
  <si>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</si>
  <si>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</si>
  <si>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</si>
  <si>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182 106 06000 00 0000 110</t>
  </si>
  <si>
    <t>ЗЕМЕЛЬНЫЙ НАЛОГ</t>
  </si>
  <si>
    <t>182 106 06013 10 0000 110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</si>
  <si>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</si>
  <si>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182 106 06023 10 0000 110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</si>
  <si>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</si>
  <si>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650 108 00000 00 0000 000</t>
  </si>
  <si>
    <t>ГОСУДАРСТВЕННАЯ ПОШЛИНА</t>
  </si>
  <si>
    <t>650 108 04020 01 1000 110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</si>
  <si>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</si>
  <si>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650 108 04020 01 4000 110</t>
  </si>
  <si>
    <t>000 111 00000 00 0000 000</t>
  </si>
  <si>
    <t>ДОХОДЫ ОТ ИСПОЛЬЗОВАНИЯ ИМУЩЕСТВА, НАХОДЯЩЕГОСЯ В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</si>
  <si>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</si>
  <si>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</si>
  <si>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</si>
  <si>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</si>
  <si>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040 111 05013 10 0000 120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</si>
  <si>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</si>
  <si>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000 116 00000 00 0000 000</t>
  </si>
  <si>
    <t>ШТРАФЫ, САНКЦИИ, ВОЗМЕЩЕНИЕ УЩЕРБА</t>
  </si>
  <si>
    <t>161 116 33050 10 6000 140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</si>
  <si>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</si>
  <si>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000 117 00000 00 0000 000</t>
  </si>
  <si>
    <t>ПРОЧИЕ НЕНАЛОГОВЫЕ ДОХОДЫ</t>
  </si>
  <si>
    <t>650 117 05050 10 0000 180</t>
  </si>
  <si>
    <t>Прочие неналоговые доходы бюджетов поселений</t>
  </si>
  <si>
    <t>650 200 00000 00 0000 000</t>
  </si>
  <si>
    <t>БЕЗВОЗМЕЗДНЫЕ ПОСТУПЛЕНИЯ ОТ ДРУГИХ БЮДЖЕТОВ БЮДЖЕТНОЙ СИСТЕМЫ РФ</t>
  </si>
  <si>
    <t>650 202 01001 10 0000 151</t>
  </si>
  <si>
    <t>Дотации бюджетам поселений на выравнивание бюджетной обеспеченности</t>
  </si>
  <si>
    <t>650 202 01003 10 0000 000</t>
  </si>
  <si>
    <t>Дотации бюджетам поселений на поддержку мер по обеспечению сбалансированности бюджета</t>
  </si>
  <si>
    <t>650 202 01999 10 0000 151</t>
  </si>
  <si>
    <t>Прочие дотации бюджетам поселений</t>
  </si>
  <si>
    <t>650 202 02999 10 0000 151</t>
  </si>
  <si>
    <t>Прочие субсидии бюджетам поселений</t>
  </si>
  <si>
    <t>650 202 03003 10 0000 151</t>
  </si>
  <si>
    <t xml:space="preserve">Субвенции бюджетам поселений на государственную регистрацию актов гражданского состояния </t>
  </si>
  <si>
    <t>650 202 03015 10 0000 151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</si>
  <si>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</si>
  <si>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</si>
  <si>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</si>
  <si>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650 202 04999 10 0000 151</t>
  </si>
  <si>
    <t>Прочие межбюджетные трансферты передаваемые бюджетам поселений</t>
  </si>
  <si>
    <t>Всего доходов:</t>
  </si>
  <si>
    <t>исполнение</t>
  </si>
  <si>
    <t>% исполнения</t>
  </si>
  <si>
    <t xml:space="preserve">Неиспользованные назначения </t>
  </si>
  <si>
    <t>Исполнено за 2014 год</t>
  </si>
  <si>
    <t>Утвержденный план на 31.12.2014 год</t>
  </si>
  <si>
    <t>тыс. Руб</t>
  </si>
  <si>
    <t>тыс. Руб.</t>
  </si>
  <si>
    <t>Приложение 5                                      к решению Совета депутатов сельского поселения Светлый       от 00.00.2015 №00</t>
  </si>
  <si>
    <t>Приложение 2                                  к решению Совета депутатов сельского поселения Светлый       от 00.00.2015 №00</t>
  </si>
  <si>
    <t>Приложение 3                                   к решению Совета депутатов сельского поселения Светлый                                   от 00.00.2015 №00</t>
  </si>
  <si>
    <t>Приложение 4                                      к  решению Совета депутатов сельского поселения Светлый       от 00.00.2015 №00</t>
  </si>
  <si>
    <t>от 00.00.2015 № 00</t>
  </si>
  <si>
    <t>Приложение 1                                      к решению Совета депутатов сельского поселения Светлый       от 00.00.2015 №00</t>
  </si>
  <si>
    <t>000  114 00000 00 0000 000</t>
  </si>
  <si>
    <t>ДОХОДЫ ОТ ПРОДАЖИ МАТЕРИАЛЬНЫХ И НЕМАТЕРИАЛЬНЫХ АКТИВОВ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</si>
  <si>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</si>
  <si>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040 114 060131 00 0000 430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</si>
</sst>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000"/>
    <numFmt numFmtId="167" formatCode="00"/>
    <numFmt numFmtId="168" formatCode="0000000"/>
    <numFmt numFmtId="169" formatCode="#,##0.0;[Red]\-#,##0.0;0.0"/>
    <numFmt numFmtId="170" formatCode="#,##0.0_ ;[Red]\-#,##0.0\ "/>
    <numFmt numFmtId="171" formatCode="0.0000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9" fontId="19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0" xfId="0" applyFill="1"/>
    <xf numFmtId="0" fontId="9" fillId="0" borderId="0" xfId="0" applyFont="1"/>
    <xf numFmtId="165" fontId="9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right" vertical="center" wrapText="1"/>
    </xf>
    <xf numFmtId="0" fontId="1" fillId="0" borderId="0" xfId="0" applyFont="1" applyFill="1"/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8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16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/>
    </xf>
    <xf numFmtId="166" fontId="5" fillId="0" borderId="1" xfId="1" applyNumberFormat="1" applyFont="1" applyFill="1" applyBorder="1" applyAlignment="1" applyProtection="1">
      <alignment horizontal="justify" vertical="center" wrapText="1"/>
      <protection hidden="1"/>
    </xf>
    <xf numFmtId="169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vertical="center"/>
    </xf>
    <xf numFmtId="165" fontId="4" fillId="7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165" fontId="2" fillId="7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165" fontId="2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justify" vertical="center"/>
    </xf>
    <xf numFmtId="165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8" borderId="1" xfId="0" applyFont="1" applyFill="1" applyBorder="1" applyAlignment="1">
      <alignment vertical="center" wrapText="1"/>
    </xf>
    <xf numFmtId="166" fontId="5" fillId="4" borderId="1" xfId="1" applyNumberFormat="1" applyFont="1" applyFill="1" applyBorder="1" applyAlignment="1" applyProtection="1">
      <alignment horizontal="justify" vertical="center" wrapText="1"/>
      <protection hidden="1"/>
    </xf>
    <xf numFmtId="166" fontId="5" fillId="4" borderId="1" xfId="1" applyNumberFormat="1" applyFont="1" applyFill="1" applyBorder="1" applyAlignment="1" applyProtection="1">
      <alignment horizontal="center" vertical="center"/>
      <protection hidden="1"/>
    </xf>
    <xf numFmtId="167" fontId="5" fillId="4" borderId="1" xfId="1" applyNumberFormat="1" applyFont="1" applyFill="1" applyBorder="1" applyAlignment="1" applyProtection="1">
      <alignment horizontal="center" vertical="center"/>
      <protection hidden="1"/>
    </xf>
    <xf numFmtId="168" fontId="5" fillId="4" borderId="1" xfId="1" applyNumberFormat="1" applyFont="1" applyFill="1" applyBorder="1" applyAlignment="1" applyProtection="1">
      <alignment horizontal="center" vertical="center"/>
      <protection hidden="1"/>
    </xf>
    <xf numFmtId="169" fontId="5" fillId="4" borderId="1" xfId="1" applyNumberFormat="1" applyFont="1" applyFill="1" applyBorder="1" applyAlignment="1" applyProtection="1">
      <alignment horizontal="center" vertical="center"/>
      <protection hidden="1"/>
    </xf>
    <xf numFmtId="169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/>
    <xf numFmtId="164" fontId="2" fillId="7" borderId="1" xfId="0" applyNumberFormat="1" applyFont="1" applyFill="1" applyBorder="1" applyAlignment="1">
      <alignment horizontal="center"/>
    </xf>
    <xf numFmtId="170" fontId="12" fillId="4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0" fontId="12" fillId="3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70" fontId="0" fillId="0" borderId="0" xfId="0" applyNumberFormat="1" applyFill="1"/>
    <xf numFmtId="2" fontId="12" fillId="0" borderId="1" xfId="0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 applyProtection="1">
      <alignment horizontal="justify" vertical="center" wrapText="1"/>
      <protection hidden="1"/>
    </xf>
    <xf numFmtId="166" fontId="5" fillId="3" borderId="1" xfId="1" applyNumberFormat="1" applyFont="1" applyFill="1" applyBorder="1" applyAlignment="1" applyProtection="1">
      <alignment horizontal="center" vertical="center"/>
      <protection hidden="1"/>
    </xf>
    <xf numFmtId="167" fontId="5" fillId="3" borderId="1" xfId="1" applyNumberFormat="1" applyFont="1" applyFill="1" applyBorder="1" applyAlignment="1" applyProtection="1">
      <alignment horizontal="center" vertical="center"/>
      <protection hidden="1"/>
    </xf>
    <xf numFmtId="168" fontId="5" fillId="3" borderId="1" xfId="1" applyNumberFormat="1" applyFont="1" applyFill="1" applyBorder="1" applyAlignment="1" applyProtection="1">
      <alignment horizontal="center" vertical="center"/>
      <protection hidden="1"/>
    </xf>
    <xf numFmtId="169" fontId="5" fillId="3" borderId="1" xfId="1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/>
    </xf>
    <xf numFmtId="170" fontId="4" fillId="7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165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justify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wrapText="1"/>
    </xf>
    <xf numFmtId="164" fontId="0" fillId="0" borderId="0" xfId="0" applyNumberFormat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/>
    </xf>
    <xf numFmtId="164" fontId="15" fillId="9" borderId="1" xfId="0" applyNumberFormat="1" applyFont="1" applyFill="1" applyBorder="1" applyAlignment="1">
      <alignment horizontal="center" vertical="center"/>
    </xf>
    <xf numFmtId="164" fontId="14" fillId="9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9" fillId="0" borderId="0" xfId="0" applyNumberFormat="1" applyFont="1"/>
    <xf numFmtId="0" fontId="1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 wrapText="1"/>
    </xf>
    <xf numFmtId="165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164" fontId="14" fillId="9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1" fontId="9" fillId="0" borderId="0" xfId="0" applyNumberFormat="1" applyFont="1"/>
    <xf numFmtId="4" fontId="5" fillId="0" borderId="1" xfId="0" applyNumberFormat="1" applyFont="1" applyFill="1" applyBorder="1" applyAlignment="1">
      <alignment horizontal="center" vertical="center"/>
    </xf>
    <xf numFmtId="9" fontId="9" fillId="0" borderId="0" xfId="2" applyFont="1"/>
    <xf numFmtId="4" fontId="5" fillId="0" borderId="5" xfId="0" applyNumberFormat="1" applyFont="1" applyFill="1" applyBorder="1" applyAlignment="1">
      <alignment horizontal="center" vertical="center"/>
    </xf>
    <xf numFmtId="4" fontId="4" fillId="6" borderId="5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" fontId="9" fillId="0" borderId="1" xfId="2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  <protection hidden="1"/>
    </xf>
    <xf numFmtId="2" fontId="5" fillId="4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right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8" borderId="1" xfId="0" applyFont="1" applyFill="1" applyBorder="1" applyAlignment="1">
      <alignment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/>
    <xf numFmtId="2" fontId="1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  <protection hidden="1"/>
    </xf>
    <xf numFmtId="2" fontId="5" fillId="4" borderId="1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1" fontId="9" fillId="7" borderId="1" xfId="2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/>
    <xf numFmtId="0" fontId="10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9" fillId="0" borderId="4" xfId="0" applyFont="1" applyBorder="1" applyAlignment="1"/>
    <xf numFmtId="0" fontId="2" fillId="7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4" xfId="0" applyFill="1" applyBorder="1" applyAlignment="1"/>
    <xf numFmtId="1" fontId="0" fillId="4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1" fontId="20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/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9" fillId="0" borderId="0" xfId="0" applyFont="1" applyBorder="1"/>
    <xf numFmtId="0" fontId="9" fillId="0" borderId="0" xfId="0" applyFont="1" applyBorder="1" applyAlignment="1"/>
    <xf numFmtId="1" fontId="14" fillId="0" borderId="7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right"/>
    </xf>
    <xf numFmtId="2" fontId="2" fillId="8" borderId="2" xfId="0" applyNumberFormat="1" applyFont="1" applyFill="1" applyBorder="1" applyAlignment="1">
      <alignment horizontal="center" vertical="center" wrapText="1"/>
    </xf>
    <xf numFmtId="2" fontId="2" fillId="8" borderId="3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8" borderId="2" xfId="1" applyNumberFormat="1" applyFont="1" applyFill="1" applyBorder="1" applyAlignment="1" applyProtection="1">
      <alignment horizontal="center" vertical="center"/>
      <protection hidden="1"/>
    </xf>
    <xf numFmtId="0" fontId="4" fillId="8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>
      <alignment horizontal="right"/>
    </xf>
    <xf numFmtId="0" fontId="14" fillId="9" borderId="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164" fontId="15" fillId="9" borderId="5" xfId="0" applyNumberFormat="1" applyFont="1" applyFill="1" applyBorder="1" applyAlignment="1">
      <alignment horizontal="center" vertical="center"/>
    </xf>
    <xf numFmtId="164" fontId="15" fillId="9" borderId="7" xfId="0" applyNumberFormat="1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 wrapText="1"/>
    </xf>
    <xf numFmtId="0" fontId="14" fillId="9" borderId="6" xfId="0" applyFont="1" applyFill="1" applyBorder="1" applyAlignment="1">
      <alignment horizontal="center" wrapText="1"/>
    </xf>
    <xf numFmtId="0" fontId="14" fillId="9" borderId="7" xfId="0" applyFont="1" applyFill="1" applyBorder="1" applyAlignment="1">
      <alignment horizontal="center" wrapText="1"/>
    </xf>
    <xf numFmtId="164" fontId="14" fillId="9" borderId="5" xfId="0" applyNumberFormat="1" applyFont="1" applyFill="1" applyBorder="1" applyAlignment="1">
      <alignment horizontal="center" vertical="center"/>
    </xf>
    <xf numFmtId="164" fontId="14" fillId="9" borderId="7" xfId="0" applyNumberFormat="1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2" fontId="14" fillId="9" borderId="5" xfId="0" applyNumberFormat="1" applyFont="1" applyFill="1" applyBorder="1" applyAlignment="1">
      <alignment horizontal="center" vertical="center"/>
    </xf>
    <xf numFmtId="2" fontId="14" fillId="9" borderId="7" xfId="0" applyNumberFormat="1" applyFont="1" applyFill="1" applyBorder="1" applyAlignment="1">
      <alignment horizontal="center" vertical="center"/>
    </xf>
    <xf numFmtId="2" fontId="15" fillId="9" borderId="5" xfId="0" applyNumberFormat="1" applyFont="1" applyFill="1" applyBorder="1" applyAlignment="1">
      <alignment horizontal="center" vertical="center"/>
    </xf>
    <xf numFmtId="2" fontId="15" fillId="9" borderId="7" xfId="0" applyNumberFormat="1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4" fontId="15" fillId="9" borderId="5" xfId="0" applyNumberFormat="1" applyFont="1" applyFill="1" applyBorder="1" applyAlignment="1">
      <alignment horizontal="center"/>
    </xf>
    <xf numFmtId="164" fontId="15" fillId="9" borderId="7" xfId="0" applyNumberFormat="1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wrapText="1"/>
    </xf>
    <xf numFmtId="0" fontId="14" fillId="9" borderId="9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7" borderId="5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F36" sqref="F36"/>
    </sheetView>
  </sheetViews>
  <sheetFormatPr defaultRowHeight="15" x14ac:dyDescent="0.25"/>
  <cols>
    <col min="1" max="1" width="33.7109375" style="4" customWidth="1"/>
    <col min="2" max="2" width="53.85546875" style="4" customWidth="1"/>
    <col min="3" max="3" width="28.7109375" style="4" hidden="1" customWidth="1"/>
    <col min="4" max="4" width="20.140625" style="4" hidden="1" customWidth="1"/>
    <col min="5" max="5" width="21.42578125" style="4" customWidth="1"/>
    <col min="6" max="6" width="12.140625" style="4" customWidth="1"/>
    <col min="7" max="7" width="10.5703125" style="241" customWidth="1"/>
    <col min="8" max="8" width="12.42578125" style="4" customWidth="1"/>
    <col min="9" max="9" width="9.140625" style="4"/>
    <col min="10" max="10" width="11.140625" style="4" bestFit="1" customWidth="1"/>
    <col min="11" max="16384" width="9.140625" style="4"/>
  </cols>
  <sheetData>
    <row r="1" spans="1:10" ht="83.25" customHeight="1" x14ac:dyDescent="0.25">
      <c r="C1" s="129"/>
      <c r="E1" s="129"/>
      <c r="G1" s="263" t="s">
        <v>354</v>
      </c>
      <c r="H1" s="263"/>
    </row>
    <row r="2" spans="1:10" x14ac:dyDescent="0.25">
      <c r="A2" s="264" t="s">
        <v>280</v>
      </c>
      <c r="B2" s="264"/>
      <c r="C2" s="264"/>
      <c r="D2" s="264"/>
      <c r="E2" s="264"/>
      <c r="F2" s="264"/>
      <c r="G2" s="264"/>
      <c r="H2" s="264"/>
    </row>
    <row r="3" spans="1:10" x14ac:dyDescent="0.25">
      <c r="C3" s="130"/>
      <c r="E3" s="130"/>
      <c r="H3" s="202" t="s">
        <v>111</v>
      </c>
    </row>
    <row r="4" spans="1:10" ht="57.75" customHeight="1" x14ac:dyDescent="0.25">
      <c r="A4" s="244" t="s">
        <v>281</v>
      </c>
      <c r="B4" s="245" t="s">
        <v>282</v>
      </c>
      <c r="C4" s="246" t="s">
        <v>283</v>
      </c>
      <c r="D4" s="232" t="s">
        <v>184</v>
      </c>
      <c r="E4" s="246" t="s">
        <v>346</v>
      </c>
      <c r="F4" s="248" t="s">
        <v>345</v>
      </c>
      <c r="G4" s="247" t="s">
        <v>343</v>
      </c>
      <c r="H4" s="248" t="s">
        <v>344</v>
      </c>
    </row>
    <row r="5" spans="1:10" ht="15.75" x14ac:dyDescent="0.25">
      <c r="A5" s="132" t="s">
        <v>284</v>
      </c>
      <c r="B5" s="131" t="s">
        <v>285</v>
      </c>
      <c r="C5" s="133">
        <f>C6+C9+C14+C17+C21+C25</f>
        <v>16198.8</v>
      </c>
      <c r="D5" s="134">
        <f>E5-C5</f>
        <v>-474.3239999999987</v>
      </c>
      <c r="E5" s="242">
        <f>E6+E9+E14+E17+E21+E25+E23</f>
        <v>15724.476000000001</v>
      </c>
      <c r="F5" s="242">
        <f>F6+F9+F14+F17+F21+F25+F23</f>
        <v>15544.560029999997</v>
      </c>
      <c r="G5" s="249">
        <f>F5/E5*100</f>
        <v>98.855822159034076</v>
      </c>
      <c r="H5" s="250">
        <f>E5-F5</f>
        <v>179.91597000000365</v>
      </c>
    </row>
    <row r="6" spans="1:10" ht="24.75" customHeight="1" x14ac:dyDescent="0.25">
      <c r="A6" s="132" t="s">
        <v>286</v>
      </c>
      <c r="B6" s="136" t="s">
        <v>287</v>
      </c>
      <c r="C6" s="133">
        <v>13125</v>
      </c>
      <c r="D6" s="134">
        <f>E6-C6</f>
        <v>-2.3999999999432475E-2</v>
      </c>
      <c r="E6" s="242">
        <f>E7</f>
        <v>13124.976000000001</v>
      </c>
      <c r="F6" s="256">
        <f>F7</f>
        <v>12911.831779999999</v>
      </c>
      <c r="G6" s="249">
        <f t="shared" ref="G6:G36" si="0">F6/E6*100</f>
        <v>98.376041068570316</v>
      </c>
      <c r="H6" s="250">
        <f t="shared" ref="H6:H36" si="1">E6-F6</f>
        <v>213.14422000000195</v>
      </c>
      <c r="J6" s="203"/>
    </row>
    <row r="7" spans="1:10" ht="24" customHeight="1" x14ac:dyDescent="0.25">
      <c r="A7" s="137" t="s">
        <v>288</v>
      </c>
      <c r="B7" s="138" t="s">
        <v>289</v>
      </c>
      <c r="C7" s="139">
        <v>13125</v>
      </c>
      <c r="D7" s="29">
        <v>0</v>
      </c>
      <c r="E7" s="204">
        <f>E8</f>
        <v>13124.976000000001</v>
      </c>
      <c r="F7" s="204">
        <f>F8</f>
        <v>12911.831779999999</v>
      </c>
      <c r="G7" s="210">
        <f t="shared" si="0"/>
        <v>98.376041068570316</v>
      </c>
      <c r="H7" s="211">
        <f t="shared" si="1"/>
        <v>213.14422000000195</v>
      </c>
    </row>
    <row r="8" spans="1:10" ht="93" customHeight="1" x14ac:dyDescent="0.25">
      <c r="A8" s="137" t="s">
        <v>290</v>
      </c>
      <c r="B8" s="138" t="s">
        <v>291</v>
      </c>
      <c r="C8" s="139">
        <v>13125</v>
      </c>
      <c r="D8" s="29">
        <v>0</v>
      </c>
      <c r="E8" s="204">
        <f>13124976/1000</f>
        <v>13124.976000000001</v>
      </c>
      <c r="F8" s="204">
        <f>(12909988.33+1.45+1781.2+46.8+14)/1000</f>
        <v>12911.831779999999</v>
      </c>
      <c r="G8" s="210">
        <f t="shared" si="0"/>
        <v>98.376041068570316</v>
      </c>
      <c r="H8" s="211">
        <f t="shared" si="1"/>
        <v>213.14422000000195</v>
      </c>
    </row>
    <row r="9" spans="1:10" ht="18.75" customHeight="1" x14ac:dyDescent="0.25">
      <c r="A9" s="132" t="s">
        <v>292</v>
      </c>
      <c r="B9" s="136" t="s">
        <v>293</v>
      </c>
      <c r="C9" s="133">
        <f>C10+C11</f>
        <v>221.5</v>
      </c>
      <c r="D9" s="134">
        <f>E9-C9</f>
        <v>32</v>
      </c>
      <c r="E9" s="243">
        <f>E10+E11</f>
        <v>253.5</v>
      </c>
      <c r="F9" s="243">
        <f>F10+F11</f>
        <v>251.87848999999997</v>
      </c>
      <c r="G9" s="249">
        <f t="shared" si="0"/>
        <v>99.360351084812621</v>
      </c>
      <c r="H9" s="250">
        <f t="shared" si="1"/>
        <v>1.6215100000000291</v>
      </c>
      <c r="J9" s="203"/>
    </row>
    <row r="10" spans="1:10" ht="48.75" customHeight="1" x14ac:dyDescent="0.25">
      <c r="A10" s="137" t="s">
        <v>294</v>
      </c>
      <c r="B10" s="138" t="s">
        <v>295</v>
      </c>
      <c r="C10" s="139">
        <v>70</v>
      </c>
      <c r="D10" s="29">
        <f>E10-C10</f>
        <v>30</v>
      </c>
      <c r="E10" s="204">
        <f>100000/1000</f>
        <v>100</v>
      </c>
      <c r="F10" s="204">
        <f>103751.5/1000</f>
        <v>103.75149999999999</v>
      </c>
      <c r="G10" s="210">
        <f t="shared" si="0"/>
        <v>103.75149999999999</v>
      </c>
      <c r="H10" s="211">
        <f t="shared" si="1"/>
        <v>-3.751499999999993</v>
      </c>
    </row>
    <row r="11" spans="1:10" ht="23.45" customHeight="1" x14ac:dyDescent="0.25">
      <c r="A11" s="132" t="s">
        <v>296</v>
      </c>
      <c r="B11" s="136" t="s">
        <v>297</v>
      </c>
      <c r="C11" s="133">
        <f>C12+C13</f>
        <v>151.5</v>
      </c>
      <c r="D11" s="134">
        <f>E11-C11</f>
        <v>2</v>
      </c>
      <c r="E11" s="240">
        <f>E12+E13</f>
        <v>153.5</v>
      </c>
      <c r="F11" s="240">
        <f>F12+F13</f>
        <v>148.12698999999998</v>
      </c>
      <c r="G11" s="249">
        <f t="shared" si="0"/>
        <v>96.499667752442988</v>
      </c>
      <c r="H11" s="250">
        <f t="shared" si="1"/>
        <v>5.373010000000022</v>
      </c>
    </row>
    <row r="12" spans="1:10" ht="93" customHeight="1" x14ac:dyDescent="0.25">
      <c r="A12" s="137" t="s">
        <v>298</v>
      </c>
      <c r="B12" s="138" t="s">
        <v>299</v>
      </c>
      <c r="C12" s="139">
        <v>13</v>
      </c>
      <c r="D12" s="29">
        <f>E12-C12</f>
        <v>2</v>
      </c>
      <c r="E12" s="204">
        <f>15000/1000</f>
        <v>15</v>
      </c>
      <c r="F12" s="204">
        <f>(43.89+13296.42)/1000</f>
        <v>13.340309999999999</v>
      </c>
      <c r="G12" s="210">
        <f t="shared" si="0"/>
        <v>88.935399999999987</v>
      </c>
      <c r="H12" s="211">
        <f t="shared" si="1"/>
        <v>1.6596900000000012</v>
      </c>
    </row>
    <row r="13" spans="1:10" ht="95.25" customHeight="1" x14ac:dyDescent="0.25">
      <c r="A13" s="137" t="s">
        <v>300</v>
      </c>
      <c r="B13" s="138" t="s">
        <v>301</v>
      </c>
      <c r="C13" s="139">
        <v>138.5</v>
      </c>
      <c r="D13" s="29">
        <v>0</v>
      </c>
      <c r="E13" s="204">
        <f>138500/1000</f>
        <v>138.5</v>
      </c>
      <c r="F13" s="204">
        <f>(1828.03+1978.37+130980.28)/1000</f>
        <v>134.78667999999999</v>
      </c>
      <c r="G13" s="210">
        <f t="shared" si="0"/>
        <v>97.318902527075807</v>
      </c>
      <c r="H13" s="211">
        <f t="shared" si="1"/>
        <v>3.7133200000000102</v>
      </c>
    </row>
    <row r="14" spans="1:10" ht="26.25" customHeight="1" x14ac:dyDescent="0.25">
      <c r="A14" s="132" t="s">
        <v>302</v>
      </c>
      <c r="B14" s="136" t="s">
        <v>303</v>
      </c>
      <c r="C14" s="133">
        <f>C15+C16</f>
        <v>150</v>
      </c>
      <c r="D14" s="134">
        <f t="shared" ref="D14:D20" si="2">E14-C14</f>
        <v>-5</v>
      </c>
      <c r="E14" s="240">
        <f>E15+E16</f>
        <v>145</v>
      </c>
      <c r="F14" s="240">
        <f>F15+F16</f>
        <v>140.53568999999999</v>
      </c>
      <c r="G14" s="249">
        <f t="shared" si="0"/>
        <v>96.921165517241377</v>
      </c>
      <c r="H14" s="250">
        <f t="shared" si="1"/>
        <v>4.4643100000000118</v>
      </c>
    </row>
    <row r="15" spans="1:10" ht="96" customHeight="1" x14ac:dyDescent="0.25">
      <c r="A15" s="137" t="s">
        <v>304</v>
      </c>
      <c r="B15" s="138" t="s">
        <v>305</v>
      </c>
      <c r="C15" s="139">
        <v>130</v>
      </c>
      <c r="D15" s="29">
        <f t="shared" si="2"/>
        <v>15</v>
      </c>
      <c r="E15" s="204">
        <f>145000/1000</f>
        <v>145</v>
      </c>
      <c r="F15" s="204">
        <f>140535.69/1000</f>
        <v>140.53568999999999</v>
      </c>
      <c r="G15" s="210">
        <f t="shared" si="0"/>
        <v>96.921165517241377</v>
      </c>
      <c r="H15" s="211">
        <f t="shared" si="1"/>
        <v>4.4643100000000118</v>
      </c>
    </row>
    <row r="16" spans="1:10" ht="96" hidden="1" customHeight="1" x14ac:dyDescent="0.25">
      <c r="A16" s="137" t="s">
        <v>306</v>
      </c>
      <c r="B16" s="138" t="s">
        <v>305</v>
      </c>
      <c r="C16" s="139">
        <v>20</v>
      </c>
      <c r="D16" s="29">
        <f t="shared" si="2"/>
        <v>-20</v>
      </c>
      <c r="E16" s="204">
        <v>0</v>
      </c>
      <c r="F16" s="204"/>
      <c r="G16" s="210" t="e">
        <f t="shared" si="0"/>
        <v>#DIV/0!</v>
      </c>
      <c r="H16" s="211">
        <f t="shared" si="1"/>
        <v>0</v>
      </c>
    </row>
    <row r="17" spans="1:8" ht="57" customHeight="1" x14ac:dyDescent="0.25">
      <c r="A17" s="132" t="s">
        <v>307</v>
      </c>
      <c r="B17" s="136" t="s">
        <v>308</v>
      </c>
      <c r="C17" s="133">
        <f>C18+C19+C20</f>
        <v>2662.3</v>
      </c>
      <c r="D17" s="134">
        <f t="shared" si="2"/>
        <v>-542.30000000000018</v>
      </c>
      <c r="E17" s="240">
        <f>E18+E19+E20</f>
        <v>2120</v>
      </c>
      <c r="F17" s="240">
        <f>F18+F19+F20</f>
        <v>2159.0263100000002</v>
      </c>
      <c r="G17" s="249">
        <f t="shared" si="0"/>
        <v>101.8408636792453</v>
      </c>
      <c r="H17" s="250">
        <f t="shared" si="1"/>
        <v>-39.026310000000194</v>
      </c>
    </row>
    <row r="18" spans="1:8" ht="63.75" hidden="1" customHeight="1" x14ac:dyDescent="0.25">
      <c r="A18" s="137" t="s">
        <v>309</v>
      </c>
      <c r="B18" s="138" t="s">
        <v>310</v>
      </c>
      <c r="C18" s="139">
        <v>961.3</v>
      </c>
      <c r="D18" s="29">
        <f t="shared" si="2"/>
        <v>-961.3</v>
      </c>
      <c r="E18" s="204">
        <v>0</v>
      </c>
      <c r="F18" s="204"/>
      <c r="G18" s="210" t="e">
        <f t="shared" si="0"/>
        <v>#DIV/0!</v>
      </c>
      <c r="H18" s="211">
        <f t="shared" si="1"/>
        <v>0</v>
      </c>
    </row>
    <row r="19" spans="1:8" ht="78" customHeight="1" x14ac:dyDescent="0.25">
      <c r="A19" s="137" t="s">
        <v>311</v>
      </c>
      <c r="B19" s="138" t="s">
        <v>312</v>
      </c>
      <c r="C19" s="139">
        <v>851</v>
      </c>
      <c r="D19" s="29">
        <v>269</v>
      </c>
      <c r="E19" s="204">
        <f>1120000/1000</f>
        <v>1120</v>
      </c>
      <c r="F19" s="204">
        <f>1153041.42/1000</f>
        <v>1153.04142</v>
      </c>
      <c r="G19" s="210">
        <f t="shared" si="0"/>
        <v>102.95012678571429</v>
      </c>
      <c r="H19" s="211">
        <f t="shared" si="1"/>
        <v>-33.041420000000016</v>
      </c>
    </row>
    <row r="20" spans="1:8" ht="95.25" customHeight="1" x14ac:dyDescent="0.25">
      <c r="A20" s="137" t="s">
        <v>313</v>
      </c>
      <c r="B20" s="138" t="s">
        <v>314</v>
      </c>
      <c r="C20" s="139">
        <v>850</v>
      </c>
      <c r="D20" s="29">
        <f t="shared" si="2"/>
        <v>150</v>
      </c>
      <c r="E20" s="204">
        <f>1000000/1000</f>
        <v>1000</v>
      </c>
      <c r="F20" s="204">
        <f>1005984.89/1000</f>
        <v>1005.9848900000001</v>
      </c>
      <c r="G20" s="210">
        <f t="shared" si="0"/>
        <v>100.59848900000001</v>
      </c>
      <c r="H20" s="211">
        <f t="shared" si="1"/>
        <v>-5.984890000000064</v>
      </c>
    </row>
    <row r="21" spans="1:8" ht="56.25" customHeight="1" x14ac:dyDescent="0.25">
      <c r="A21" s="132" t="s">
        <v>315</v>
      </c>
      <c r="B21" s="136" t="s">
        <v>316</v>
      </c>
      <c r="C21" s="133">
        <f>C22</f>
        <v>40</v>
      </c>
      <c r="D21" s="134">
        <f>D22</f>
        <v>35</v>
      </c>
      <c r="E21" s="240">
        <f>E22</f>
        <v>75</v>
      </c>
      <c r="F21" s="240">
        <f>F22</f>
        <v>75.133150000000001</v>
      </c>
      <c r="G21" s="249">
        <f t="shared" si="0"/>
        <v>100.17753333333333</v>
      </c>
      <c r="H21" s="250">
        <f t="shared" si="1"/>
        <v>-0.13315000000000055</v>
      </c>
    </row>
    <row r="22" spans="1:8" ht="81" customHeight="1" x14ac:dyDescent="0.25">
      <c r="A22" s="137" t="s">
        <v>317</v>
      </c>
      <c r="B22" s="138" t="s">
        <v>318</v>
      </c>
      <c r="C22" s="139">
        <v>40</v>
      </c>
      <c r="D22" s="29">
        <v>35</v>
      </c>
      <c r="E22" s="204">
        <f>75000/1000</f>
        <v>75</v>
      </c>
      <c r="F22" s="204">
        <f>75133.15/1000</f>
        <v>75.133150000000001</v>
      </c>
      <c r="G22" s="210">
        <f t="shared" si="0"/>
        <v>100.17753333333333</v>
      </c>
      <c r="H22" s="211">
        <f t="shared" si="1"/>
        <v>-0.13315000000000055</v>
      </c>
    </row>
    <row r="23" spans="1:8" ht="81" customHeight="1" x14ac:dyDescent="0.25">
      <c r="A23" s="132" t="s">
        <v>355</v>
      </c>
      <c r="B23" s="136" t="s">
        <v>356</v>
      </c>
      <c r="C23" s="133"/>
      <c r="D23" s="134"/>
      <c r="E23" s="240">
        <f>E24</f>
        <v>0</v>
      </c>
      <c r="F23" s="240">
        <f t="shared" ref="F23:H23" si="3">F24</f>
        <v>1.08</v>
      </c>
      <c r="G23" s="240">
        <f t="shared" si="3"/>
        <v>0</v>
      </c>
      <c r="H23" s="240">
        <f t="shared" si="3"/>
        <v>1.08</v>
      </c>
    </row>
    <row r="24" spans="1:8" ht="75" customHeight="1" x14ac:dyDescent="0.25">
      <c r="A24" s="137" t="s">
        <v>358</v>
      </c>
      <c r="B24" s="138" t="s">
        <v>357</v>
      </c>
      <c r="C24" s="139"/>
      <c r="D24" s="29"/>
      <c r="E24" s="204">
        <v>0</v>
      </c>
      <c r="F24" s="204">
        <v>1.08</v>
      </c>
      <c r="G24" s="210">
        <v>0</v>
      </c>
      <c r="H24" s="211">
        <v>1.08</v>
      </c>
    </row>
    <row r="25" spans="1:8" ht="26.25" customHeight="1" x14ac:dyDescent="0.25">
      <c r="A25" s="132" t="s">
        <v>319</v>
      </c>
      <c r="B25" s="136" t="s">
        <v>320</v>
      </c>
      <c r="C25" s="133">
        <f>C26</f>
        <v>0</v>
      </c>
      <c r="D25" s="134">
        <f t="shared" ref="D25:D29" si="4">E25-C25</f>
        <v>6</v>
      </c>
      <c r="E25" s="240">
        <f>E26</f>
        <v>6</v>
      </c>
      <c r="F25" s="240">
        <f>F26</f>
        <v>5.0746099999999998</v>
      </c>
      <c r="G25" s="210">
        <f t="shared" si="0"/>
        <v>84.57683333333334</v>
      </c>
      <c r="H25" s="211">
        <f t="shared" si="1"/>
        <v>0.92539000000000016</v>
      </c>
    </row>
    <row r="26" spans="1:8" ht="27" customHeight="1" x14ac:dyDescent="0.25">
      <c r="A26" s="137" t="s">
        <v>321</v>
      </c>
      <c r="B26" s="138" t="s">
        <v>322</v>
      </c>
      <c r="C26" s="139">
        <v>0</v>
      </c>
      <c r="D26" s="29">
        <f t="shared" si="4"/>
        <v>6</v>
      </c>
      <c r="E26" s="204">
        <f>6000/1000</f>
        <v>6</v>
      </c>
      <c r="F26" s="204">
        <f>5074.61/1000</f>
        <v>5.0746099999999998</v>
      </c>
      <c r="G26" s="210">
        <f t="shared" si="0"/>
        <v>84.57683333333334</v>
      </c>
      <c r="H26" s="211">
        <f t="shared" si="1"/>
        <v>0.92539000000000016</v>
      </c>
    </row>
    <row r="27" spans="1:8" ht="53.25" customHeight="1" x14ac:dyDescent="0.25">
      <c r="A27" s="132" t="s">
        <v>323</v>
      </c>
      <c r="B27" s="136" t="s">
        <v>324</v>
      </c>
      <c r="C27" s="133">
        <f>C28+C29+C31+C32+C33+C34+C35+C30</f>
        <v>7821.4000000000005</v>
      </c>
      <c r="D27" s="134">
        <f t="shared" si="4"/>
        <v>698.40717999999924</v>
      </c>
      <c r="E27" s="240">
        <f>E28+E29+E31+E32+E33+E34+E35+E30</f>
        <v>8519.8071799999998</v>
      </c>
      <c r="F27" s="240">
        <f>F28+F29+F31+F32+F33+F34+F35+F30</f>
        <v>8518.7111700000005</v>
      </c>
      <c r="G27" s="249">
        <f t="shared" si="0"/>
        <v>99.987135741726973</v>
      </c>
      <c r="H27" s="250">
        <f t="shared" si="1"/>
        <v>1.0960099999992963</v>
      </c>
    </row>
    <row r="28" spans="1:8" ht="39.75" customHeight="1" x14ac:dyDescent="0.25">
      <c r="A28" s="137" t="s">
        <v>325</v>
      </c>
      <c r="B28" s="138" t="s">
        <v>326</v>
      </c>
      <c r="C28" s="139">
        <v>5089.3</v>
      </c>
      <c r="D28" s="29">
        <v>116.3</v>
      </c>
      <c r="E28" s="204">
        <f>5205600/1000</f>
        <v>5205.6000000000004</v>
      </c>
      <c r="F28" s="204">
        <f>5205600/1000</f>
        <v>5205.6000000000004</v>
      </c>
      <c r="G28" s="210">
        <f t="shared" si="0"/>
        <v>100</v>
      </c>
      <c r="H28" s="211">
        <f t="shared" si="1"/>
        <v>0</v>
      </c>
    </row>
    <row r="29" spans="1:8" ht="39.75" customHeight="1" x14ac:dyDescent="0.25">
      <c r="A29" s="140" t="s">
        <v>327</v>
      </c>
      <c r="B29" s="138" t="s">
        <v>328</v>
      </c>
      <c r="C29" s="139">
        <v>957.8</v>
      </c>
      <c r="D29" s="29">
        <f t="shared" si="4"/>
        <v>461.29999999999995</v>
      </c>
      <c r="E29" s="204">
        <f>1419100/1000</f>
        <v>1419.1</v>
      </c>
      <c r="F29" s="204">
        <f>1419100/1000</f>
        <v>1419.1</v>
      </c>
      <c r="G29" s="210">
        <f t="shared" si="0"/>
        <v>100</v>
      </c>
      <c r="H29" s="211">
        <f t="shared" si="1"/>
        <v>0</v>
      </c>
    </row>
    <row r="30" spans="1:8" ht="39.75" customHeight="1" x14ac:dyDescent="0.25">
      <c r="A30" s="140" t="s">
        <v>329</v>
      </c>
      <c r="B30" s="138" t="s">
        <v>330</v>
      </c>
      <c r="C30" s="139">
        <v>0</v>
      </c>
      <c r="D30" s="29">
        <v>159.9</v>
      </c>
      <c r="E30" s="204">
        <f>159900/1000</f>
        <v>159.9</v>
      </c>
      <c r="F30" s="204">
        <f>159900/1000</f>
        <v>159.9</v>
      </c>
      <c r="G30" s="210">
        <f t="shared" si="0"/>
        <v>100</v>
      </c>
      <c r="H30" s="211">
        <f t="shared" si="1"/>
        <v>0</v>
      </c>
    </row>
    <row r="31" spans="1:8" ht="19.5" hidden="1" customHeight="1" x14ac:dyDescent="0.25">
      <c r="A31" s="137" t="s">
        <v>331</v>
      </c>
      <c r="B31" s="138" t="s">
        <v>332</v>
      </c>
      <c r="C31" s="139">
        <v>187.8</v>
      </c>
      <c r="D31" s="29">
        <v>-187.8</v>
      </c>
      <c r="E31" s="204">
        <f>C31+D31</f>
        <v>0</v>
      </c>
      <c r="F31" s="204">
        <v>0</v>
      </c>
      <c r="G31" s="210" t="e">
        <f t="shared" si="0"/>
        <v>#DIV/0!</v>
      </c>
      <c r="H31" s="211">
        <f t="shared" si="1"/>
        <v>0</v>
      </c>
    </row>
    <row r="32" spans="1:8" ht="44.25" customHeight="1" x14ac:dyDescent="0.25">
      <c r="A32" s="137" t="s">
        <v>333</v>
      </c>
      <c r="B32" s="138" t="s">
        <v>334</v>
      </c>
      <c r="C32" s="139">
        <v>40</v>
      </c>
      <c r="D32" s="29">
        <v>0</v>
      </c>
      <c r="E32" s="204">
        <f>40000/1000</f>
        <v>40</v>
      </c>
      <c r="F32" s="204">
        <f>40000/1000</f>
        <v>40</v>
      </c>
      <c r="G32" s="210">
        <f t="shared" si="0"/>
        <v>100</v>
      </c>
      <c r="H32" s="211">
        <f t="shared" si="1"/>
        <v>0</v>
      </c>
    </row>
    <row r="33" spans="1:8" ht="54" customHeight="1" x14ac:dyDescent="0.25">
      <c r="A33" s="137" t="s">
        <v>335</v>
      </c>
      <c r="B33" s="138" t="s">
        <v>336</v>
      </c>
      <c r="C33" s="139">
        <v>164</v>
      </c>
      <c r="D33" s="29">
        <v>0</v>
      </c>
      <c r="E33" s="204">
        <f>164000/1000</f>
        <v>164</v>
      </c>
      <c r="F33" s="204">
        <f>164000/1000</f>
        <v>164</v>
      </c>
      <c r="G33" s="210">
        <f t="shared" si="0"/>
        <v>100</v>
      </c>
      <c r="H33" s="211">
        <f t="shared" si="1"/>
        <v>0</v>
      </c>
    </row>
    <row r="34" spans="1:8" ht="64.5" customHeight="1" x14ac:dyDescent="0.25">
      <c r="A34" s="137" t="s">
        <v>337</v>
      </c>
      <c r="B34" s="138" t="s">
        <v>338</v>
      </c>
      <c r="C34" s="139">
        <v>341</v>
      </c>
      <c r="D34" s="29">
        <v>-34.4</v>
      </c>
      <c r="E34" s="204">
        <f>306633.18/1000</f>
        <v>306.63317999999998</v>
      </c>
      <c r="F34" s="204">
        <f>306633.18/1000</f>
        <v>306.63317999999998</v>
      </c>
      <c r="G34" s="210">
        <f t="shared" si="0"/>
        <v>100</v>
      </c>
      <c r="H34" s="211">
        <f t="shared" si="1"/>
        <v>0</v>
      </c>
    </row>
    <row r="35" spans="1:8" ht="64.5" customHeight="1" x14ac:dyDescent="0.25">
      <c r="A35" s="140" t="s">
        <v>339</v>
      </c>
      <c r="B35" s="138" t="s">
        <v>340</v>
      </c>
      <c r="C35" s="139">
        <v>1041.5</v>
      </c>
      <c r="D35" s="29">
        <f>E35-C35</f>
        <v>183.07400000000007</v>
      </c>
      <c r="E35" s="204">
        <f>1224574/1000</f>
        <v>1224.5740000000001</v>
      </c>
      <c r="F35" s="204">
        <f>1223477.99/1000</f>
        <v>1223.4779900000001</v>
      </c>
      <c r="G35" s="210">
        <f t="shared" si="0"/>
        <v>99.910498671374697</v>
      </c>
      <c r="H35" s="211">
        <f t="shared" si="1"/>
        <v>1.0960099999999784</v>
      </c>
    </row>
    <row r="36" spans="1:8" ht="27.2" customHeight="1" x14ac:dyDescent="0.25">
      <c r="A36" s="132"/>
      <c r="B36" s="136" t="s">
        <v>341</v>
      </c>
      <c r="C36" s="133">
        <f>C5+C27</f>
        <v>24020.2</v>
      </c>
      <c r="D36" s="134">
        <f>D27+D5</f>
        <v>224.08318000000054</v>
      </c>
      <c r="E36" s="240">
        <f>E5+E27</f>
        <v>24244.283179999999</v>
      </c>
      <c r="F36" s="240">
        <f>F5+F27</f>
        <v>24063.271199999996</v>
      </c>
      <c r="G36" s="249">
        <f t="shared" si="0"/>
        <v>99.253382833981547</v>
      </c>
      <c r="H36" s="250">
        <f t="shared" si="1"/>
        <v>181.01198000000295</v>
      </c>
    </row>
    <row r="39" spans="1:8" x14ac:dyDescent="0.25">
      <c r="E39" s="135"/>
    </row>
    <row r="41" spans="1:8" x14ac:dyDescent="0.25">
      <c r="H41" s="203"/>
    </row>
    <row r="45" spans="1:8" x14ac:dyDescent="0.25">
      <c r="H45" s="203"/>
    </row>
    <row r="48" spans="1:8" x14ac:dyDescent="0.25">
      <c r="F48" s="255"/>
    </row>
  </sheetData>
  <mergeCells count="2">
    <mergeCell ref="G1:H1"/>
    <mergeCell ref="A2:H2"/>
  </mergeCells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opLeftCell="A139" zoomScaleNormal="100" workbookViewId="0">
      <selection activeCell="H136" sqref="H136"/>
    </sheetView>
  </sheetViews>
  <sheetFormatPr defaultRowHeight="15" x14ac:dyDescent="0.25"/>
  <cols>
    <col min="1" max="1" width="55.140625" style="4" customWidth="1"/>
    <col min="2" max="2" width="5.140625" style="4" customWidth="1"/>
    <col min="3" max="3" width="4.42578125" style="4" customWidth="1"/>
    <col min="4" max="4" width="10.28515625" style="4" customWidth="1"/>
    <col min="5" max="5" width="5" style="4" customWidth="1"/>
    <col min="6" max="6" width="14" style="4" hidden="1" customWidth="1"/>
    <col min="7" max="7" width="12.140625" style="4" hidden="1" customWidth="1"/>
    <col min="8" max="8" width="13" style="4" customWidth="1"/>
    <col min="9" max="9" width="15.42578125" style="4" bestFit="1" customWidth="1"/>
    <col min="10" max="10" width="12.28515625" style="145" customWidth="1"/>
    <col min="11" max="11" width="14" style="4" customWidth="1"/>
    <col min="12" max="16384" width="9.140625" style="4"/>
  </cols>
  <sheetData>
    <row r="1" spans="1:11" ht="54.75" customHeight="1" x14ac:dyDescent="0.25">
      <c r="G1" s="272"/>
      <c r="H1" s="272"/>
      <c r="I1" s="230"/>
      <c r="J1" s="272" t="s">
        <v>350</v>
      </c>
      <c r="K1" s="272"/>
    </row>
    <row r="3" spans="1:11" ht="46.5" customHeight="1" x14ac:dyDescent="0.25">
      <c r="A3" s="267" t="s">
        <v>129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5" spans="1:11" x14ac:dyDescent="0.25">
      <c r="H5" s="2"/>
      <c r="I5" s="184"/>
      <c r="J5" s="184"/>
      <c r="K5" s="184" t="s">
        <v>111</v>
      </c>
    </row>
    <row r="6" spans="1:11" ht="15" customHeight="1" x14ac:dyDescent="0.25">
      <c r="A6" s="265" t="s">
        <v>0</v>
      </c>
      <c r="B6" s="273" t="s">
        <v>1</v>
      </c>
      <c r="C6" s="273" t="s">
        <v>2</v>
      </c>
      <c r="D6" s="273" t="s">
        <v>3</v>
      </c>
      <c r="E6" s="273" t="s">
        <v>4</v>
      </c>
      <c r="F6" s="274" t="s">
        <v>269</v>
      </c>
      <c r="G6" s="268" t="s">
        <v>342</v>
      </c>
      <c r="H6" s="268" t="s">
        <v>346</v>
      </c>
      <c r="I6" s="268" t="s">
        <v>345</v>
      </c>
      <c r="J6" s="270" t="s">
        <v>343</v>
      </c>
      <c r="K6" s="270" t="s">
        <v>344</v>
      </c>
    </row>
    <row r="7" spans="1:11" ht="108.75" customHeight="1" x14ac:dyDescent="0.25">
      <c r="A7" s="266"/>
      <c r="B7" s="273"/>
      <c r="C7" s="273"/>
      <c r="D7" s="273"/>
      <c r="E7" s="273"/>
      <c r="F7" s="274"/>
      <c r="G7" s="269"/>
      <c r="H7" s="269"/>
      <c r="I7" s="269"/>
      <c r="J7" s="271"/>
      <c r="K7" s="271"/>
    </row>
    <row r="8" spans="1:11" ht="15.75" x14ac:dyDescent="0.25">
      <c r="A8" s="33" t="s">
        <v>5</v>
      </c>
      <c r="B8" s="30" t="s">
        <v>104</v>
      </c>
      <c r="C8" s="31"/>
      <c r="D8" s="31"/>
      <c r="E8" s="31"/>
      <c r="F8" s="32">
        <f>F9+F15+F25+F31</f>
        <v>14820.300000000001</v>
      </c>
      <c r="G8" s="36">
        <f>H8-F8</f>
        <v>-137.34000000000015</v>
      </c>
      <c r="H8" s="157">
        <f>H9+H15+H25+H31</f>
        <v>14682.960000000001</v>
      </c>
      <c r="I8" s="147">
        <f>I9+I15+I25+I31</f>
        <v>13907.718909999996</v>
      </c>
      <c r="J8" s="147">
        <f t="shared" ref="J8" si="0">J9+J15+J25+J31</f>
        <v>285.24337008757698</v>
      </c>
      <c r="K8" s="157">
        <f>H8-I8</f>
        <v>775.24109000000499</v>
      </c>
    </row>
    <row r="9" spans="1:11" ht="47.25" customHeight="1" x14ac:dyDescent="0.25">
      <c r="A9" s="14" t="s">
        <v>6</v>
      </c>
      <c r="B9" s="7" t="s">
        <v>104</v>
      </c>
      <c r="C9" s="7" t="s">
        <v>105</v>
      </c>
      <c r="D9" s="6"/>
      <c r="E9" s="6"/>
      <c r="F9" s="8">
        <v>1571.1</v>
      </c>
      <c r="G9" s="28">
        <f t="shared" ref="G9:G85" si="1">H9-F9</f>
        <v>18.090000000000146</v>
      </c>
      <c r="H9" s="158">
        <f t="shared" ref="H9:I13" si="2">H10</f>
        <v>1589.19</v>
      </c>
      <c r="I9" s="148">
        <f t="shared" si="2"/>
        <v>1589.19407</v>
      </c>
      <c r="J9" s="148">
        <f t="shared" ref="J9:J13" si="3">J10</f>
        <v>100.00025610531151</v>
      </c>
      <c r="K9" s="144">
        <f t="shared" ref="K9:K72" si="4">H9-I9</f>
        <v>-4.0699999999560532E-3</v>
      </c>
    </row>
    <row r="10" spans="1:11" ht="65.25" customHeight="1" x14ac:dyDescent="0.25">
      <c r="A10" s="15" t="s">
        <v>122</v>
      </c>
      <c r="B10" s="7" t="s">
        <v>104</v>
      </c>
      <c r="C10" s="7" t="s">
        <v>105</v>
      </c>
      <c r="D10" s="6">
        <v>2500000</v>
      </c>
      <c r="E10" s="6"/>
      <c r="F10" s="8">
        <v>1571.1</v>
      </c>
      <c r="G10" s="28">
        <f t="shared" si="1"/>
        <v>18.090000000000146</v>
      </c>
      <c r="H10" s="158">
        <f t="shared" si="2"/>
        <v>1589.19</v>
      </c>
      <c r="I10" s="148">
        <f t="shared" si="2"/>
        <v>1589.19407</v>
      </c>
      <c r="J10" s="148">
        <f t="shared" si="3"/>
        <v>100.00025610531151</v>
      </c>
      <c r="K10" s="144">
        <f t="shared" si="4"/>
        <v>-4.0699999999560532E-3</v>
      </c>
    </row>
    <row r="11" spans="1:11" ht="56.25" customHeight="1" x14ac:dyDescent="0.25">
      <c r="A11" s="15" t="s">
        <v>123</v>
      </c>
      <c r="B11" s="7" t="s">
        <v>104</v>
      </c>
      <c r="C11" s="7" t="s">
        <v>105</v>
      </c>
      <c r="D11" s="6">
        <v>2510000</v>
      </c>
      <c r="E11" s="6"/>
      <c r="F11" s="8">
        <v>1571.1</v>
      </c>
      <c r="G11" s="28">
        <f t="shared" si="1"/>
        <v>18.090000000000146</v>
      </c>
      <c r="H11" s="158">
        <f t="shared" si="2"/>
        <v>1589.19</v>
      </c>
      <c r="I11" s="148">
        <f t="shared" si="2"/>
        <v>1589.19407</v>
      </c>
      <c r="J11" s="148">
        <f t="shared" si="3"/>
        <v>100.00025610531151</v>
      </c>
      <c r="K11" s="144">
        <f t="shared" si="4"/>
        <v>-4.0699999999560532E-3</v>
      </c>
    </row>
    <row r="12" spans="1:11" ht="39" customHeight="1" x14ac:dyDescent="0.25">
      <c r="A12" s="15" t="s">
        <v>120</v>
      </c>
      <c r="B12" s="7" t="s">
        <v>104</v>
      </c>
      <c r="C12" s="7" t="s">
        <v>105</v>
      </c>
      <c r="D12" s="6">
        <v>2517040</v>
      </c>
      <c r="E12" s="6"/>
      <c r="F12" s="8">
        <v>1571.1</v>
      </c>
      <c r="G12" s="28">
        <f t="shared" si="1"/>
        <v>18.090000000000146</v>
      </c>
      <c r="H12" s="158">
        <f t="shared" si="2"/>
        <v>1589.19</v>
      </c>
      <c r="I12" s="148">
        <f t="shared" si="2"/>
        <v>1589.19407</v>
      </c>
      <c r="J12" s="148">
        <f t="shared" si="3"/>
        <v>100.00025610531151</v>
      </c>
      <c r="K12" s="144">
        <f t="shared" si="4"/>
        <v>-4.0699999999560532E-3</v>
      </c>
    </row>
    <row r="13" spans="1:11" ht="82.5" customHeight="1" x14ac:dyDescent="0.25">
      <c r="A13" s="15" t="s">
        <v>121</v>
      </c>
      <c r="B13" s="7" t="s">
        <v>104</v>
      </c>
      <c r="C13" s="7" t="s">
        <v>105</v>
      </c>
      <c r="D13" s="6">
        <v>2517040</v>
      </c>
      <c r="E13" s="6">
        <v>100</v>
      </c>
      <c r="F13" s="8">
        <v>1571.1</v>
      </c>
      <c r="G13" s="28">
        <f>H13-F13</f>
        <v>18.090000000000146</v>
      </c>
      <c r="H13" s="158">
        <f t="shared" si="2"/>
        <v>1589.19</v>
      </c>
      <c r="I13" s="148">
        <f t="shared" si="2"/>
        <v>1589.19407</v>
      </c>
      <c r="J13" s="148">
        <f t="shared" si="3"/>
        <v>100.00025610531151</v>
      </c>
      <c r="K13" s="144">
        <f t="shared" si="4"/>
        <v>-4.0699999999560532E-3</v>
      </c>
    </row>
    <row r="14" spans="1:11" ht="40.5" customHeight="1" x14ac:dyDescent="0.25">
      <c r="A14" s="15" t="s">
        <v>124</v>
      </c>
      <c r="B14" s="7" t="s">
        <v>104</v>
      </c>
      <c r="C14" s="7" t="s">
        <v>105</v>
      </c>
      <c r="D14" s="6">
        <v>2517040</v>
      </c>
      <c r="E14" s="6">
        <v>120</v>
      </c>
      <c r="F14" s="8">
        <f>(1327862.24+261331.83)/1000</f>
        <v>1589.19407</v>
      </c>
      <c r="G14" s="28">
        <f>(261331.83+1327862.24)/1000</f>
        <v>1589.19407</v>
      </c>
      <c r="H14" s="158">
        <v>1589.19</v>
      </c>
      <c r="I14" s="154">
        <f>(1327862.24+261331.83)/1000</f>
        <v>1589.19407</v>
      </c>
      <c r="J14" s="155">
        <f t="shared" ref="J14:J71" si="5">I14/H14*100</f>
        <v>100.00025610531151</v>
      </c>
      <c r="K14" s="144">
        <f t="shared" si="4"/>
        <v>-4.0699999999560532E-3</v>
      </c>
    </row>
    <row r="15" spans="1:11" ht="69" customHeight="1" x14ac:dyDescent="0.25">
      <c r="A15" s="16" t="s">
        <v>7</v>
      </c>
      <c r="B15" s="7" t="s">
        <v>104</v>
      </c>
      <c r="C15" s="7" t="s">
        <v>107</v>
      </c>
      <c r="D15" s="6"/>
      <c r="E15" s="6"/>
      <c r="F15" s="8">
        <v>9737.7000000000007</v>
      </c>
      <c r="G15" s="28">
        <f t="shared" si="1"/>
        <v>-28.100000000000364</v>
      </c>
      <c r="H15" s="158">
        <f t="shared" ref="H15:I17" si="6">H16</f>
        <v>9709.6</v>
      </c>
      <c r="I15" s="148">
        <f t="shared" si="6"/>
        <v>9680.1173999999974</v>
      </c>
      <c r="J15" s="155">
        <f t="shared" si="5"/>
        <v>99.69635618357087</v>
      </c>
      <c r="K15" s="144">
        <f t="shared" si="4"/>
        <v>29.482600000003004</v>
      </c>
    </row>
    <row r="16" spans="1:11" ht="66.75" customHeight="1" x14ac:dyDescent="0.25">
      <c r="A16" s="15" t="s">
        <v>122</v>
      </c>
      <c r="B16" s="7" t="s">
        <v>104</v>
      </c>
      <c r="C16" s="7" t="s">
        <v>107</v>
      </c>
      <c r="D16" s="6">
        <v>2500000</v>
      </c>
      <c r="E16" s="6"/>
      <c r="F16" s="8">
        <v>9737.7000000000007</v>
      </c>
      <c r="G16" s="28">
        <f t="shared" si="1"/>
        <v>-28.100000000000364</v>
      </c>
      <c r="H16" s="158">
        <f t="shared" si="6"/>
        <v>9709.6</v>
      </c>
      <c r="I16" s="148">
        <f t="shared" si="6"/>
        <v>9680.1173999999974</v>
      </c>
      <c r="J16" s="155">
        <f t="shared" si="5"/>
        <v>99.69635618357087</v>
      </c>
      <c r="K16" s="144">
        <f t="shared" si="4"/>
        <v>29.482600000003004</v>
      </c>
    </row>
    <row r="17" spans="1:11" ht="52.5" customHeight="1" x14ac:dyDescent="0.25">
      <c r="A17" s="15" t="s">
        <v>125</v>
      </c>
      <c r="B17" s="7" t="s">
        <v>104</v>
      </c>
      <c r="C17" s="7" t="s">
        <v>107</v>
      </c>
      <c r="D17" s="6">
        <v>2510000</v>
      </c>
      <c r="E17" s="6"/>
      <c r="F17" s="8">
        <v>9737.7000000000007</v>
      </c>
      <c r="G17" s="28">
        <f t="shared" si="1"/>
        <v>-28.100000000000364</v>
      </c>
      <c r="H17" s="158">
        <f t="shared" si="6"/>
        <v>9709.6</v>
      </c>
      <c r="I17" s="148">
        <f t="shared" si="6"/>
        <v>9680.1173999999974</v>
      </c>
      <c r="J17" s="155">
        <f t="shared" si="5"/>
        <v>99.69635618357087</v>
      </c>
      <c r="K17" s="144">
        <f t="shared" si="4"/>
        <v>29.482600000003004</v>
      </c>
    </row>
    <row r="18" spans="1:11" ht="37.700000000000003" customHeight="1" x14ac:dyDescent="0.25">
      <c r="A18" s="17" t="s">
        <v>126</v>
      </c>
      <c r="B18" s="9" t="s">
        <v>104</v>
      </c>
      <c r="C18" s="9" t="s">
        <v>107</v>
      </c>
      <c r="D18" s="10">
        <v>2510204</v>
      </c>
      <c r="E18" s="10"/>
      <c r="F18" s="11">
        <v>9737.7000000000007</v>
      </c>
      <c r="G18" s="28">
        <f t="shared" si="1"/>
        <v>-28.100000000000364</v>
      </c>
      <c r="H18" s="159">
        <f>H19+H21+H23</f>
        <v>9709.6</v>
      </c>
      <c r="I18" s="149">
        <f>I19+I21+I23</f>
        <v>9680.1173999999974</v>
      </c>
      <c r="J18" s="155">
        <f t="shared" si="5"/>
        <v>99.69635618357087</v>
      </c>
      <c r="K18" s="144">
        <f t="shared" si="4"/>
        <v>29.482600000003004</v>
      </c>
    </row>
    <row r="19" spans="1:11" ht="79.5" customHeight="1" x14ac:dyDescent="0.25">
      <c r="A19" s="15" t="s">
        <v>57</v>
      </c>
      <c r="B19" s="7" t="s">
        <v>104</v>
      </c>
      <c r="C19" s="7" t="s">
        <v>107</v>
      </c>
      <c r="D19" s="6">
        <v>2510204</v>
      </c>
      <c r="E19" s="6">
        <v>100</v>
      </c>
      <c r="F19" s="8">
        <v>9536.2000000000007</v>
      </c>
      <c r="G19" s="28">
        <f t="shared" si="1"/>
        <v>-46</v>
      </c>
      <c r="H19" s="158">
        <f>H20</f>
        <v>9490.2000000000007</v>
      </c>
      <c r="I19" s="148">
        <f>I20</f>
        <v>9468.9631899999986</v>
      </c>
      <c r="J19" s="155">
        <f t="shared" si="5"/>
        <v>99.776223788750471</v>
      </c>
      <c r="K19" s="144">
        <f t="shared" si="4"/>
        <v>21.236810000002151</v>
      </c>
    </row>
    <row r="20" spans="1:11" ht="30.75" customHeight="1" x14ac:dyDescent="0.25">
      <c r="A20" s="15" t="s">
        <v>58</v>
      </c>
      <c r="B20" s="7" t="s">
        <v>104</v>
      </c>
      <c r="C20" s="7" t="s">
        <v>107</v>
      </c>
      <c r="D20" s="6">
        <v>2510204</v>
      </c>
      <c r="E20" s="6">
        <v>120</v>
      </c>
      <c r="F20" s="8">
        <v>9536.2000000000007</v>
      </c>
      <c r="G20" s="28">
        <f t="shared" si="1"/>
        <v>-46</v>
      </c>
      <c r="H20" s="158">
        <v>9490.2000000000007</v>
      </c>
      <c r="I20" s="154">
        <f>(7340971.82+2059829.11+11700+29292.26+27170)/1000</f>
        <v>9468.9631899999986</v>
      </c>
      <c r="J20" s="155">
        <f t="shared" si="5"/>
        <v>99.776223788750471</v>
      </c>
      <c r="K20" s="144">
        <f t="shared" si="4"/>
        <v>21.236810000002151</v>
      </c>
    </row>
    <row r="21" spans="1:11" ht="34.5" customHeight="1" x14ac:dyDescent="0.25">
      <c r="A21" s="15" t="s">
        <v>61</v>
      </c>
      <c r="B21" s="7" t="s">
        <v>104</v>
      </c>
      <c r="C21" s="7" t="s">
        <v>107</v>
      </c>
      <c r="D21" s="6">
        <v>2510204</v>
      </c>
      <c r="E21" s="6">
        <v>200</v>
      </c>
      <c r="F21" s="8">
        <f>F22</f>
        <v>184</v>
      </c>
      <c r="G21" s="28">
        <f t="shared" si="1"/>
        <v>-33.099999999999994</v>
      </c>
      <c r="H21" s="158">
        <f>H22</f>
        <v>150.9</v>
      </c>
      <c r="I21" s="148">
        <f>I22</f>
        <v>143.08212</v>
      </c>
      <c r="J21" s="155">
        <f t="shared" si="5"/>
        <v>94.819165009940349</v>
      </c>
      <c r="K21" s="144">
        <f t="shared" si="4"/>
        <v>7.8178800000000024</v>
      </c>
    </row>
    <row r="22" spans="1:11" ht="40.5" customHeight="1" x14ac:dyDescent="0.25">
      <c r="A22" s="15" t="s">
        <v>62</v>
      </c>
      <c r="B22" s="7" t="s">
        <v>104</v>
      </c>
      <c r="C22" s="7" t="s">
        <v>107</v>
      </c>
      <c r="D22" s="6">
        <v>2510204</v>
      </c>
      <c r="E22" s="6">
        <v>240</v>
      </c>
      <c r="F22" s="8">
        <v>184</v>
      </c>
      <c r="G22" s="28">
        <f t="shared" si="1"/>
        <v>-33.099999999999994</v>
      </c>
      <c r="H22" s="158">
        <v>150.9</v>
      </c>
      <c r="I22" s="154">
        <f>(62530+18993+56547.03+5012.09)/1000</f>
        <v>143.08212</v>
      </c>
      <c r="J22" s="155">
        <f t="shared" si="5"/>
        <v>94.819165009940349</v>
      </c>
      <c r="K22" s="144">
        <f t="shared" si="4"/>
        <v>7.8178800000000024</v>
      </c>
    </row>
    <row r="23" spans="1:11" ht="17.25" customHeight="1" x14ac:dyDescent="0.25">
      <c r="A23" s="15" t="s">
        <v>63</v>
      </c>
      <c r="B23" s="7" t="s">
        <v>104</v>
      </c>
      <c r="C23" s="7" t="s">
        <v>107</v>
      </c>
      <c r="D23" s="12">
        <v>2510204</v>
      </c>
      <c r="E23" s="12">
        <v>800</v>
      </c>
      <c r="F23" s="8">
        <f>F24</f>
        <v>17.5</v>
      </c>
      <c r="G23" s="28">
        <f t="shared" si="1"/>
        <v>51</v>
      </c>
      <c r="H23" s="158">
        <f>H24</f>
        <v>68.5</v>
      </c>
      <c r="I23" s="148">
        <f>I24</f>
        <v>68.072090000000003</v>
      </c>
      <c r="J23" s="155">
        <f t="shared" si="5"/>
        <v>99.375313868613148</v>
      </c>
      <c r="K23" s="144">
        <f t="shared" si="4"/>
        <v>0.42790999999999713</v>
      </c>
    </row>
    <row r="24" spans="1:11" ht="14.25" customHeight="1" x14ac:dyDescent="0.25">
      <c r="A24" s="15" t="s">
        <v>64</v>
      </c>
      <c r="B24" s="7" t="s">
        <v>104</v>
      </c>
      <c r="C24" s="7" t="s">
        <v>107</v>
      </c>
      <c r="D24" s="12">
        <v>2510204</v>
      </c>
      <c r="E24" s="12">
        <v>850</v>
      </c>
      <c r="F24" s="8">
        <v>17.5</v>
      </c>
      <c r="G24" s="28">
        <f t="shared" si="1"/>
        <v>51</v>
      </c>
      <c r="H24" s="158">
        <v>68.5</v>
      </c>
      <c r="I24" s="154">
        <f>68072.09/1000</f>
        <v>68.072090000000003</v>
      </c>
      <c r="J24" s="155">
        <f t="shared" si="5"/>
        <v>99.375313868613148</v>
      </c>
      <c r="K24" s="144">
        <f t="shared" si="4"/>
        <v>0.42790999999999713</v>
      </c>
    </row>
    <row r="25" spans="1:11" ht="16.5" customHeight="1" x14ac:dyDescent="0.25">
      <c r="A25" s="15" t="s">
        <v>8</v>
      </c>
      <c r="B25" s="7" t="s">
        <v>104</v>
      </c>
      <c r="C25" s="7">
        <v>11</v>
      </c>
      <c r="D25" s="12"/>
      <c r="E25" s="12"/>
      <c r="F25" s="8">
        <f>F26</f>
        <v>300</v>
      </c>
      <c r="G25" s="28">
        <f t="shared" si="1"/>
        <v>0</v>
      </c>
      <c r="H25" s="158">
        <f t="shared" ref="H25:I29" si="7">H26</f>
        <v>300</v>
      </c>
      <c r="I25" s="148">
        <f t="shared" si="7"/>
        <v>0</v>
      </c>
      <c r="J25" s="155">
        <f t="shared" si="5"/>
        <v>0</v>
      </c>
      <c r="K25" s="144">
        <f t="shared" si="4"/>
        <v>300</v>
      </c>
    </row>
    <row r="26" spans="1:11" ht="63.2" customHeight="1" x14ac:dyDescent="0.25">
      <c r="A26" s="15" t="s">
        <v>65</v>
      </c>
      <c r="B26" s="7" t="s">
        <v>104</v>
      </c>
      <c r="C26" s="7">
        <v>11</v>
      </c>
      <c r="D26" s="12">
        <v>1400000</v>
      </c>
      <c r="E26" s="12"/>
      <c r="F26" s="8">
        <f>F27</f>
        <v>300</v>
      </c>
      <c r="G26" s="28">
        <f t="shared" si="1"/>
        <v>0</v>
      </c>
      <c r="H26" s="158">
        <f t="shared" si="7"/>
        <v>300</v>
      </c>
      <c r="I26" s="148">
        <f t="shared" si="7"/>
        <v>0</v>
      </c>
      <c r="J26" s="155">
        <f t="shared" si="5"/>
        <v>0</v>
      </c>
      <c r="K26" s="144">
        <f t="shared" si="4"/>
        <v>300</v>
      </c>
    </row>
    <row r="27" spans="1:11" s="95" customFormat="1" ht="60.75" customHeight="1" x14ac:dyDescent="0.25">
      <c r="A27" s="16" t="s">
        <v>66</v>
      </c>
      <c r="B27" s="97" t="s">
        <v>104</v>
      </c>
      <c r="C27" s="97">
        <v>11</v>
      </c>
      <c r="D27" s="101">
        <v>1410000</v>
      </c>
      <c r="E27" s="101"/>
      <c r="F27" s="100">
        <f>F28</f>
        <v>300</v>
      </c>
      <c r="G27" s="96">
        <f t="shared" si="1"/>
        <v>0</v>
      </c>
      <c r="H27" s="144">
        <f t="shared" si="7"/>
        <v>300</v>
      </c>
      <c r="I27" s="146">
        <f t="shared" si="7"/>
        <v>0</v>
      </c>
      <c r="J27" s="155">
        <f t="shared" si="5"/>
        <v>0</v>
      </c>
      <c r="K27" s="144">
        <f t="shared" si="4"/>
        <v>300</v>
      </c>
    </row>
    <row r="28" spans="1:11" s="95" customFormat="1" ht="15.95" customHeight="1" x14ac:dyDescent="0.25">
      <c r="A28" s="16" t="s">
        <v>67</v>
      </c>
      <c r="B28" s="97" t="s">
        <v>104</v>
      </c>
      <c r="C28" s="97">
        <v>11</v>
      </c>
      <c r="D28" s="101">
        <v>1417020</v>
      </c>
      <c r="E28" s="101"/>
      <c r="F28" s="100">
        <f>F29</f>
        <v>300</v>
      </c>
      <c r="G28" s="96">
        <f t="shared" si="1"/>
        <v>0</v>
      </c>
      <c r="H28" s="144">
        <f t="shared" si="7"/>
        <v>300</v>
      </c>
      <c r="I28" s="146">
        <f t="shared" si="7"/>
        <v>0</v>
      </c>
      <c r="J28" s="155">
        <f t="shared" si="5"/>
        <v>0</v>
      </c>
      <c r="K28" s="144">
        <f t="shared" si="4"/>
        <v>300</v>
      </c>
    </row>
    <row r="29" spans="1:11" s="95" customFormat="1" ht="15.95" customHeight="1" x14ac:dyDescent="0.25">
      <c r="A29" s="16" t="s">
        <v>63</v>
      </c>
      <c r="B29" s="97" t="s">
        <v>104</v>
      </c>
      <c r="C29" s="97">
        <v>11</v>
      </c>
      <c r="D29" s="101">
        <v>1417020</v>
      </c>
      <c r="E29" s="101">
        <v>800</v>
      </c>
      <c r="F29" s="100">
        <f>F30</f>
        <v>300</v>
      </c>
      <c r="G29" s="96">
        <f t="shared" si="1"/>
        <v>0</v>
      </c>
      <c r="H29" s="144">
        <f t="shared" si="7"/>
        <v>300</v>
      </c>
      <c r="I29" s="146">
        <f t="shared" si="7"/>
        <v>0</v>
      </c>
      <c r="J29" s="155">
        <f t="shared" si="5"/>
        <v>0</v>
      </c>
      <c r="K29" s="144">
        <f t="shared" si="4"/>
        <v>300</v>
      </c>
    </row>
    <row r="30" spans="1:11" s="95" customFormat="1" ht="15" customHeight="1" x14ac:dyDescent="0.25">
      <c r="A30" s="16" t="s">
        <v>68</v>
      </c>
      <c r="B30" s="97" t="s">
        <v>104</v>
      </c>
      <c r="C30" s="97">
        <v>11</v>
      </c>
      <c r="D30" s="101">
        <v>1417020</v>
      </c>
      <c r="E30" s="101">
        <v>870</v>
      </c>
      <c r="F30" s="100">
        <v>300</v>
      </c>
      <c r="G30" s="96">
        <f t="shared" si="1"/>
        <v>0</v>
      </c>
      <c r="H30" s="144">
        <v>300</v>
      </c>
      <c r="I30" s="156">
        <v>0</v>
      </c>
      <c r="J30" s="155">
        <f t="shared" si="5"/>
        <v>0</v>
      </c>
      <c r="K30" s="144">
        <f t="shared" si="4"/>
        <v>300</v>
      </c>
    </row>
    <row r="31" spans="1:11" s="95" customFormat="1" ht="18.75" customHeight="1" x14ac:dyDescent="0.25">
      <c r="A31" s="91" t="s">
        <v>9</v>
      </c>
      <c r="B31" s="92" t="s">
        <v>104</v>
      </c>
      <c r="C31" s="92">
        <v>13</v>
      </c>
      <c r="D31" s="123"/>
      <c r="E31" s="122"/>
      <c r="F31" s="93">
        <f>F32+F36+F49+F56+F61+F45</f>
        <v>3211.5</v>
      </c>
      <c r="G31" s="94">
        <f t="shared" si="1"/>
        <v>-127.32999999999993</v>
      </c>
      <c r="H31" s="160">
        <f>H32+H36+H49+H56+H61+H45</f>
        <v>3084.17</v>
      </c>
      <c r="I31" s="150">
        <f>I32+I36+I49+I56+I61+I45</f>
        <v>2638.40744</v>
      </c>
      <c r="J31" s="155">
        <f t="shared" si="5"/>
        <v>85.546757798694614</v>
      </c>
      <c r="K31" s="160">
        <f t="shared" si="4"/>
        <v>445.76256000000012</v>
      </c>
    </row>
    <row r="32" spans="1:11" s="95" customFormat="1" ht="41.45" customHeight="1" x14ac:dyDescent="0.25">
      <c r="A32" s="16" t="s">
        <v>69</v>
      </c>
      <c r="B32" s="97" t="s">
        <v>104</v>
      </c>
      <c r="C32" s="97">
        <v>13</v>
      </c>
      <c r="D32" s="102" t="s">
        <v>27</v>
      </c>
      <c r="E32" s="101"/>
      <c r="F32" s="100">
        <f>F33</f>
        <v>9.9</v>
      </c>
      <c r="G32" s="96">
        <f t="shared" si="1"/>
        <v>-6.2</v>
      </c>
      <c r="H32" s="144">
        <f t="shared" ref="H32:I34" si="8">H33</f>
        <v>3.7</v>
      </c>
      <c r="I32" s="146">
        <f t="shared" si="8"/>
        <v>3.7</v>
      </c>
      <c r="J32" s="155">
        <f t="shared" si="5"/>
        <v>100</v>
      </c>
      <c r="K32" s="144">
        <f t="shared" si="4"/>
        <v>0</v>
      </c>
    </row>
    <row r="33" spans="1:11" s="95" customFormat="1" ht="36.75" customHeight="1" x14ac:dyDescent="0.25">
      <c r="A33" s="16" t="s">
        <v>53</v>
      </c>
      <c r="B33" s="97" t="s">
        <v>104</v>
      </c>
      <c r="C33" s="97">
        <v>13</v>
      </c>
      <c r="D33" s="102" t="s">
        <v>28</v>
      </c>
      <c r="E33" s="101"/>
      <c r="F33" s="100">
        <f>F34</f>
        <v>9.9</v>
      </c>
      <c r="G33" s="96">
        <f t="shared" si="1"/>
        <v>-6.2</v>
      </c>
      <c r="H33" s="144">
        <f t="shared" si="8"/>
        <v>3.7</v>
      </c>
      <c r="I33" s="146">
        <f t="shared" si="8"/>
        <v>3.7</v>
      </c>
      <c r="J33" s="155">
        <f t="shared" si="5"/>
        <v>100</v>
      </c>
      <c r="K33" s="144">
        <f t="shared" si="4"/>
        <v>0</v>
      </c>
    </row>
    <row r="34" spans="1:11" s="95" customFormat="1" ht="36" customHeight="1" x14ac:dyDescent="0.25">
      <c r="A34" s="16" t="s">
        <v>61</v>
      </c>
      <c r="B34" s="97" t="s">
        <v>104</v>
      </c>
      <c r="C34" s="97">
        <v>13</v>
      </c>
      <c r="D34" s="102" t="s">
        <v>28</v>
      </c>
      <c r="E34" s="101">
        <v>200</v>
      </c>
      <c r="F34" s="100">
        <f>F35</f>
        <v>9.9</v>
      </c>
      <c r="G34" s="96">
        <f t="shared" si="1"/>
        <v>-6.2</v>
      </c>
      <c r="H34" s="144">
        <f t="shared" si="8"/>
        <v>3.7</v>
      </c>
      <c r="I34" s="146">
        <f t="shared" si="8"/>
        <v>3.7</v>
      </c>
      <c r="J34" s="155">
        <f t="shared" si="5"/>
        <v>100</v>
      </c>
      <c r="K34" s="144">
        <f t="shared" si="4"/>
        <v>0</v>
      </c>
    </row>
    <row r="35" spans="1:11" s="95" customFormat="1" ht="33" customHeight="1" x14ac:dyDescent="0.25">
      <c r="A35" s="16" t="s">
        <v>62</v>
      </c>
      <c r="B35" s="97" t="s">
        <v>104</v>
      </c>
      <c r="C35" s="97">
        <v>13</v>
      </c>
      <c r="D35" s="102" t="s">
        <v>28</v>
      </c>
      <c r="E35" s="101">
        <v>240</v>
      </c>
      <c r="F35" s="100">
        <v>9.9</v>
      </c>
      <c r="G35" s="96">
        <f t="shared" si="1"/>
        <v>-6.2</v>
      </c>
      <c r="H35" s="144">
        <v>3.7</v>
      </c>
      <c r="I35" s="156">
        <f>3700/1000</f>
        <v>3.7</v>
      </c>
      <c r="J35" s="155">
        <f t="shared" si="5"/>
        <v>100</v>
      </c>
      <c r="K35" s="144">
        <f t="shared" si="4"/>
        <v>0</v>
      </c>
    </row>
    <row r="36" spans="1:11" ht="67.5" customHeight="1" x14ac:dyDescent="0.25">
      <c r="A36" s="15" t="s">
        <v>70</v>
      </c>
      <c r="B36" s="7" t="s">
        <v>104</v>
      </c>
      <c r="C36" s="13">
        <v>13</v>
      </c>
      <c r="D36" s="12">
        <v>1300000</v>
      </c>
      <c r="E36" s="12"/>
      <c r="F36" s="8">
        <f>F37+F41</f>
        <v>70.099999999999994</v>
      </c>
      <c r="G36" s="28">
        <f t="shared" si="1"/>
        <v>0</v>
      </c>
      <c r="H36" s="158">
        <f>H37+H41</f>
        <v>70.099999999999994</v>
      </c>
      <c r="I36" s="148">
        <f>I37+I41</f>
        <v>70.10257</v>
      </c>
      <c r="J36" s="155">
        <f t="shared" si="5"/>
        <v>100.0036661911555</v>
      </c>
      <c r="K36" s="144">
        <f t="shared" si="4"/>
        <v>-2.5700000000057344E-3</v>
      </c>
    </row>
    <row r="37" spans="1:11" ht="29.25" customHeight="1" x14ac:dyDescent="0.25">
      <c r="A37" s="15" t="s">
        <v>71</v>
      </c>
      <c r="B37" s="7" t="s">
        <v>104</v>
      </c>
      <c r="C37" s="7">
        <v>13</v>
      </c>
      <c r="D37" s="12">
        <v>1310000</v>
      </c>
      <c r="E37" s="12"/>
      <c r="F37" s="8">
        <f>F38</f>
        <v>56.1</v>
      </c>
      <c r="G37" s="28">
        <f t="shared" si="1"/>
        <v>0</v>
      </c>
      <c r="H37" s="158">
        <f t="shared" ref="H37:I39" si="9">H38</f>
        <v>56.1</v>
      </c>
      <c r="I37" s="148">
        <f t="shared" si="9"/>
        <v>56.10257</v>
      </c>
      <c r="J37" s="155">
        <f t="shared" si="5"/>
        <v>100.00458110516934</v>
      </c>
      <c r="K37" s="144">
        <f t="shared" si="4"/>
        <v>-2.5699999999986289E-3</v>
      </c>
    </row>
    <row r="38" spans="1:11" s="95" customFormat="1" ht="39.75" customHeight="1" x14ac:dyDescent="0.25">
      <c r="A38" s="16" t="s">
        <v>72</v>
      </c>
      <c r="B38" s="97" t="s">
        <v>104</v>
      </c>
      <c r="C38" s="97">
        <v>13</v>
      </c>
      <c r="D38" s="101">
        <v>1312104</v>
      </c>
      <c r="E38" s="101"/>
      <c r="F38" s="100">
        <f>F39</f>
        <v>56.1</v>
      </c>
      <c r="G38" s="96">
        <f t="shared" si="1"/>
        <v>0</v>
      </c>
      <c r="H38" s="144">
        <f t="shared" si="9"/>
        <v>56.1</v>
      </c>
      <c r="I38" s="146">
        <f t="shared" si="9"/>
        <v>56.10257</v>
      </c>
      <c r="J38" s="155">
        <f t="shared" si="5"/>
        <v>100.00458110516934</v>
      </c>
      <c r="K38" s="144">
        <f t="shared" si="4"/>
        <v>-2.5699999999986289E-3</v>
      </c>
    </row>
    <row r="39" spans="1:11" s="95" customFormat="1" ht="39" customHeight="1" x14ac:dyDescent="0.25">
      <c r="A39" s="16" t="s">
        <v>61</v>
      </c>
      <c r="B39" s="97" t="s">
        <v>104</v>
      </c>
      <c r="C39" s="97">
        <v>13</v>
      </c>
      <c r="D39" s="101">
        <v>1312104</v>
      </c>
      <c r="E39" s="101">
        <v>200</v>
      </c>
      <c r="F39" s="100">
        <f>F40</f>
        <v>56.1</v>
      </c>
      <c r="G39" s="96">
        <f t="shared" si="1"/>
        <v>0</v>
      </c>
      <c r="H39" s="144">
        <f t="shared" si="9"/>
        <v>56.1</v>
      </c>
      <c r="I39" s="146">
        <f t="shared" si="9"/>
        <v>56.10257</v>
      </c>
      <c r="J39" s="155">
        <f t="shared" si="5"/>
        <v>100.00458110516934</v>
      </c>
      <c r="K39" s="144">
        <f t="shared" si="4"/>
        <v>-2.5699999999986289E-3</v>
      </c>
    </row>
    <row r="40" spans="1:11" s="95" customFormat="1" ht="44.25" customHeight="1" x14ac:dyDescent="0.25">
      <c r="A40" s="16" t="s">
        <v>62</v>
      </c>
      <c r="B40" s="97" t="s">
        <v>104</v>
      </c>
      <c r="C40" s="97">
        <v>13</v>
      </c>
      <c r="D40" s="101">
        <v>1312104</v>
      </c>
      <c r="E40" s="101">
        <v>240</v>
      </c>
      <c r="F40" s="100">
        <v>56.1</v>
      </c>
      <c r="G40" s="96">
        <f t="shared" si="1"/>
        <v>0</v>
      </c>
      <c r="H40" s="144">
        <v>56.1</v>
      </c>
      <c r="I40" s="156">
        <f>(1900+54202.57)/1000</f>
        <v>56.10257</v>
      </c>
      <c r="J40" s="155">
        <f t="shared" si="5"/>
        <v>100.00458110516934</v>
      </c>
      <c r="K40" s="144">
        <f t="shared" si="4"/>
        <v>-2.5699999999986289E-3</v>
      </c>
    </row>
    <row r="41" spans="1:11" ht="46.5" customHeight="1" x14ac:dyDescent="0.25">
      <c r="A41" s="15" t="s">
        <v>73</v>
      </c>
      <c r="B41" s="7" t="s">
        <v>104</v>
      </c>
      <c r="C41" s="7">
        <v>13</v>
      </c>
      <c r="D41" s="12">
        <v>1320000</v>
      </c>
      <c r="E41" s="6"/>
      <c r="F41" s="8">
        <v>14</v>
      </c>
      <c r="G41" s="28">
        <f t="shared" si="1"/>
        <v>0</v>
      </c>
      <c r="H41" s="158">
        <f t="shared" ref="H41:I43" si="10">H42</f>
        <v>14</v>
      </c>
      <c r="I41" s="148">
        <f t="shared" si="10"/>
        <v>14</v>
      </c>
      <c r="J41" s="155">
        <f t="shared" si="5"/>
        <v>100</v>
      </c>
      <c r="K41" s="144">
        <f t="shared" si="4"/>
        <v>0</v>
      </c>
    </row>
    <row r="42" spans="1:11" s="95" customFormat="1" ht="40.5" customHeight="1" x14ac:dyDescent="0.25">
      <c r="A42" s="16" t="s">
        <v>53</v>
      </c>
      <c r="B42" s="97" t="s">
        <v>104</v>
      </c>
      <c r="C42" s="97">
        <v>13</v>
      </c>
      <c r="D42" s="101">
        <v>1327061</v>
      </c>
      <c r="E42" s="101"/>
      <c r="F42" s="100">
        <v>14</v>
      </c>
      <c r="G42" s="96">
        <f t="shared" si="1"/>
        <v>0</v>
      </c>
      <c r="H42" s="144">
        <f t="shared" si="10"/>
        <v>14</v>
      </c>
      <c r="I42" s="146">
        <f t="shared" si="10"/>
        <v>14</v>
      </c>
      <c r="J42" s="155">
        <f t="shared" si="5"/>
        <v>100</v>
      </c>
      <c r="K42" s="144">
        <f t="shared" si="4"/>
        <v>0</v>
      </c>
    </row>
    <row r="43" spans="1:11" s="95" customFormat="1" ht="31.5" customHeight="1" x14ac:dyDescent="0.25">
      <c r="A43" s="16" t="s">
        <v>61</v>
      </c>
      <c r="B43" s="97" t="s">
        <v>104</v>
      </c>
      <c r="C43" s="97">
        <v>13</v>
      </c>
      <c r="D43" s="101">
        <v>1327061</v>
      </c>
      <c r="E43" s="101">
        <v>200</v>
      </c>
      <c r="F43" s="100">
        <v>14</v>
      </c>
      <c r="G43" s="96">
        <f t="shared" si="1"/>
        <v>0</v>
      </c>
      <c r="H43" s="144">
        <f t="shared" si="10"/>
        <v>14</v>
      </c>
      <c r="I43" s="146">
        <f t="shared" si="10"/>
        <v>14</v>
      </c>
      <c r="J43" s="155">
        <f t="shared" si="5"/>
        <v>100</v>
      </c>
      <c r="K43" s="144">
        <f t="shared" si="4"/>
        <v>0</v>
      </c>
    </row>
    <row r="44" spans="1:11" s="95" customFormat="1" ht="41.45" customHeight="1" x14ac:dyDescent="0.25">
      <c r="A44" s="16" t="s">
        <v>62</v>
      </c>
      <c r="B44" s="97" t="s">
        <v>104</v>
      </c>
      <c r="C44" s="97">
        <v>13</v>
      </c>
      <c r="D44" s="101">
        <v>1327061</v>
      </c>
      <c r="E44" s="101">
        <v>240</v>
      </c>
      <c r="F44" s="100">
        <v>14</v>
      </c>
      <c r="G44" s="96">
        <f t="shared" si="1"/>
        <v>0</v>
      </c>
      <c r="H44" s="144">
        <v>14</v>
      </c>
      <c r="I44" s="156">
        <f>14000/1000</f>
        <v>14</v>
      </c>
      <c r="J44" s="155">
        <f t="shared" si="5"/>
        <v>100</v>
      </c>
      <c r="K44" s="144">
        <f t="shared" si="4"/>
        <v>0</v>
      </c>
    </row>
    <row r="45" spans="1:11" s="95" customFormat="1" ht="51" customHeight="1" x14ac:dyDescent="0.25">
      <c r="A45" s="16" t="s">
        <v>216</v>
      </c>
      <c r="B45" s="97" t="s">
        <v>104</v>
      </c>
      <c r="C45" s="97" t="s">
        <v>209</v>
      </c>
      <c r="D45" s="101">
        <v>1500000</v>
      </c>
      <c r="E45" s="101"/>
      <c r="F45" s="100">
        <v>30</v>
      </c>
      <c r="G45" s="96">
        <f>G46</f>
        <v>0</v>
      </c>
      <c r="H45" s="144">
        <f>H48</f>
        <v>30</v>
      </c>
      <c r="I45" s="146">
        <f>I48</f>
        <v>30</v>
      </c>
      <c r="J45" s="155">
        <f t="shared" si="5"/>
        <v>100</v>
      </c>
      <c r="K45" s="144">
        <f t="shared" si="4"/>
        <v>0</v>
      </c>
    </row>
    <row r="46" spans="1:11" s="95" customFormat="1" ht="43.5" customHeight="1" x14ac:dyDescent="0.25">
      <c r="A46" s="16" t="s">
        <v>217</v>
      </c>
      <c r="B46" s="97" t="s">
        <v>104</v>
      </c>
      <c r="C46" s="97" t="s">
        <v>209</v>
      </c>
      <c r="D46" s="101">
        <v>1517061</v>
      </c>
      <c r="E46" s="101"/>
      <c r="F46" s="100">
        <v>30</v>
      </c>
      <c r="G46" s="96">
        <f>G47</f>
        <v>0</v>
      </c>
      <c r="H46" s="144">
        <f>H47</f>
        <v>30</v>
      </c>
      <c r="I46" s="146">
        <f>I47</f>
        <v>30</v>
      </c>
      <c r="J46" s="155">
        <f t="shared" si="5"/>
        <v>100</v>
      </c>
      <c r="K46" s="144">
        <f t="shared" si="4"/>
        <v>0</v>
      </c>
    </row>
    <row r="47" spans="1:11" s="95" customFormat="1" ht="41.45" customHeight="1" x14ac:dyDescent="0.25">
      <c r="A47" s="16" t="s">
        <v>61</v>
      </c>
      <c r="B47" s="97" t="s">
        <v>104</v>
      </c>
      <c r="C47" s="97" t="s">
        <v>209</v>
      </c>
      <c r="D47" s="101">
        <v>1517061</v>
      </c>
      <c r="E47" s="101">
        <v>200</v>
      </c>
      <c r="F47" s="100">
        <v>30</v>
      </c>
      <c r="G47" s="96">
        <f>G48</f>
        <v>0</v>
      </c>
      <c r="H47" s="144">
        <f>H48</f>
        <v>30</v>
      </c>
      <c r="I47" s="146">
        <f>I48</f>
        <v>30</v>
      </c>
      <c r="J47" s="155">
        <f t="shared" si="5"/>
        <v>100</v>
      </c>
      <c r="K47" s="144">
        <f t="shared" si="4"/>
        <v>0</v>
      </c>
    </row>
    <row r="48" spans="1:11" s="95" customFormat="1" ht="41.45" customHeight="1" x14ac:dyDescent="0.25">
      <c r="A48" s="16" t="s">
        <v>218</v>
      </c>
      <c r="B48" s="97" t="s">
        <v>104</v>
      </c>
      <c r="C48" s="97" t="s">
        <v>209</v>
      </c>
      <c r="D48" s="101">
        <v>1517061</v>
      </c>
      <c r="E48" s="101">
        <v>240</v>
      </c>
      <c r="F48" s="100">
        <v>30</v>
      </c>
      <c r="G48" s="96">
        <f>H48-F48</f>
        <v>0</v>
      </c>
      <c r="H48" s="144">
        <v>30</v>
      </c>
      <c r="I48" s="156">
        <f>30000/1000</f>
        <v>30</v>
      </c>
      <c r="J48" s="155">
        <f t="shared" si="5"/>
        <v>100</v>
      </c>
      <c r="K48" s="144">
        <f t="shared" si="4"/>
        <v>0</v>
      </c>
    </row>
    <row r="49" spans="1:11" s="95" customFormat="1" ht="57" customHeight="1" x14ac:dyDescent="0.25">
      <c r="A49" s="16" t="s">
        <v>74</v>
      </c>
      <c r="B49" s="102" t="s">
        <v>104</v>
      </c>
      <c r="C49" s="102">
        <v>13</v>
      </c>
      <c r="D49" s="101">
        <v>2200000</v>
      </c>
      <c r="E49" s="101"/>
      <c r="F49" s="100">
        <f>F50</f>
        <v>2540.4</v>
      </c>
      <c r="G49" s="96">
        <f t="shared" si="1"/>
        <v>-299.43000000000029</v>
      </c>
      <c r="H49" s="144">
        <f>H50</f>
        <v>2240.9699999999998</v>
      </c>
      <c r="I49" s="146">
        <f>I50</f>
        <v>1948.0616600000001</v>
      </c>
      <c r="J49" s="155">
        <f t="shared" si="5"/>
        <v>86.929394860261411</v>
      </c>
      <c r="K49" s="144">
        <f t="shared" si="4"/>
        <v>292.90833999999973</v>
      </c>
    </row>
    <row r="50" spans="1:11" s="95" customFormat="1" ht="62.25" customHeight="1" x14ac:dyDescent="0.25">
      <c r="A50" s="16" t="s">
        <v>75</v>
      </c>
      <c r="B50" s="102" t="s">
        <v>104</v>
      </c>
      <c r="C50" s="102">
        <v>13</v>
      </c>
      <c r="D50" s="101">
        <v>2202119</v>
      </c>
      <c r="E50" s="101"/>
      <c r="F50" s="100">
        <f>F51+F53</f>
        <v>2540.4</v>
      </c>
      <c r="G50" s="96">
        <f t="shared" si="1"/>
        <v>-299.43000000000029</v>
      </c>
      <c r="H50" s="144">
        <f>H51+H53</f>
        <v>2240.9699999999998</v>
      </c>
      <c r="I50" s="146">
        <f>I51+I53</f>
        <v>1948.0616600000001</v>
      </c>
      <c r="J50" s="155">
        <f t="shared" si="5"/>
        <v>86.929394860261411</v>
      </c>
      <c r="K50" s="144">
        <f t="shared" si="4"/>
        <v>292.90833999999973</v>
      </c>
    </row>
    <row r="51" spans="1:11" s="95" customFormat="1" ht="33" customHeight="1" x14ac:dyDescent="0.25">
      <c r="A51" s="16" t="s">
        <v>61</v>
      </c>
      <c r="B51" s="97" t="s">
        <v>104</v>
      </c>
      <c r="C51" s="97">
        <v>13</v>
      </c>
      <c r="D51" s="101">
        <v>2202119</v>
      </c>
      <c r="E51" s="101">
        <v>200</v>
      </c>
      <c r="F51" s="100">
        <f>F52</f>
        <v>2540.4</v>
      </c>
      <c r="G51" s="96">
        <f t="shared" si="1"/>
        <v>-321.43000000000029</v>
      </c>
      <c r="H51" s="144">
        <f>H52</f>
        <v>2218.9699999999998</v>
      </c>
      <c r="I51" s="146">
        <f>I52</f>
        <v>1927.2316600000001</v>
      </c>
      <c r="J51" s="155">
        <f t="shared" si="5"/>
        <v>86.852533382605458</v>
      </c>
      <c r="K51" s="144">
        <f t="shared" si="4"/>
        <v>291.73833999999965</v>
      </c>
    </row>
    <row r="52" spans="1:11" s="95" customFormat="1" ht="43.5" customHeight="1" x14ac:dyDescent="0.25">
      <c r="A52" s="16" t="s">
        <v>62</v>
      </c>
      <c r="B52" s="97" t="s">
        <v>104</v>
      </c>
      <c r="C52" s="97">
        <v>13</v>
      </c>
      <c r="D52" s="101">
        <v>2202119</v>
      </c>
      <c r="E52" s="101">
        <v>240</v>
      </c>
      <c r="F52" s="100">
        <v>2540.4</v>
      </c>
      <c r="G52" s="96">
        <f t="shared" si="1"/>
        <v>-321.43000000000029</v>
      </c>
      <c r="H52" s="144">
        <f>2218.97</f>
        <v>2218.9699999999998</v>
      </c>
      <c r="I52" s="156">
        <f>(557403.96+519531.59+60450+308158.49+16960+96500+11600+228127.62+59000+69500)/1000</f>
        <v>1927.2316600000001</v>
      </c>
      <c r="J52" s="155">
        <f t="shared" si="5"/>
        <v>86.852533382605458</v>
      </c>
      <c r="K52" s="144">
        <f t="shared" si="4"/>
        <v>291.73833999999965</v>
      </c>
    </row>
    <row r="53" spans="1:11" s="95" customFormat="1" ht="20.25" customHeight="1" x14ac:dyDescent="0.25">
      <c r="A53" s="16" t="s">
        <v>272</v>
      </c>
      <c r="B53" s="97" t="s">
        <v>104</v>
      </c>
      <c r="C53" s="97" t="s">
        <v>209</v>
      </c>
      <c r="D53" s="101">
        <v>2202119</v>
      </c>
      <c r="E53" s="101">
        <v>800</v>
      </c>
      <c r="F53" s="100">
        <f>F54+F55</f>
        <v>0</v>
      </c>
      <c r="G53" s="96">
        <f t="shared" si="1"/>
        <v>22</v>
      </c>
      <c r="H53" s="144">
        <f>H54+H55</f>
        <v>22</v>
      </c>
      <c r="I53" s="146">
        <f>I54+I55</f>
        <v>20.83</v>
      </c>
      <c r="J53" s="155">
        <f t="shared" si="5"/>
        <v>94.681818181818173</v>
      </c>
      <c r="K53" s="144">
        <f t="shared" si="4"/>
        <v>1.1700000000000017</v>
      </c>
    </row>
    <row r="54" spans="1:11" s="95" customFormat="1" ht="20.25" customHeight="1" x14ac:dyDescent="0.25">
      <c r="A54" s="16" t="s">
        <v>273</v>
      </c>
      <c r="B54" s="97" t="s">
        <v>104</v>
      </c>
      <c r="C54" s="97" t="s">
        <v>209</v>
      </c>
      <c r="D54" s="101">
        <v>2202119</v>
      </c>
      <c r="E54" s="101">
        <v>830</v>
      </c>
      <c r="F54" s="100">
        <v>0</v>
      </c>
      <c r="G54" s="96">
        <f t="shared" si="1"/>
        <v>10</v>
      </c>
      <c r="H54" s="144">
        <v>10</v>
      </c>
      <c r="I54" s="164">
        <f>10000/1000</f>
        <v>10</v>
      </c>
      <c r="J54" s="155">
        <f t="shared" si="5"/>
        <v>100</v>
      </c>
      <c r="K54" s="144">
        <f t="shared" si="4"/>
        <v>0</v>
      </c>
    </row>
    <row r="55" spans="1:11" s="95" customFormat="1" ht="22.5" customHeight="1" x14ac:dyDescent="0.25">
      <c r="A55" s="16" t="s">
        <v>274</v>
      </c>
      <c r="B55" s="97" t="s">
        <v>104</v>
      </c>
      <c r="C55" s="97" t="s">
        <v>209</v>
      </c>
      <c r="D55" s="101">
        <v>2202119</v>
      </c>
      <c r="E55" s="101">
        <v>850</v>
      </c>
      <c r="F55" s="100">
        <v>0</v>
      </c>
      <c r="G55" s="96">
        <f t="shared" si="1"/>
        <v>12</v>
      </c>
      <c r="H55" s="144">
        <v>12</v>
      </c>
      <c r="I55" s="156">
        <f>10830/1000</f>
        <v>10.83</v>
      </c>
      <c r="J55" s="155">
        <f t="shared" si="5"/>
        <v>90.25</v>
      </c>
      <c r="K55" s="144">
        <f t="shared" si="4"/>
        <v>1.17</v>
      </c>
    </row>
    <row r="56" spans="1:11" s="95" customFormat="1" ht="78.75" customHeight="1" x14ac:dyDescent="0.25">
      <c r="A56" s="16" t="s">
        <v>76</v>
      </c>
      <c r="B56" s="97" t="s">
        <v>104</v>
      </c>
      <c r="C56" s="97">
        <v>13</v>
      </c>
      <c r="D56" s="101">
        <v>2300000</v>
      </c>
      <c r="E56" s="101"/>
      <c r="F56" s="100">
        <v>5</v>
      </c>
      <c r="G56" s="96">
        <f t="shared" si="1"/>
        <v>-3.2</v>
      </c>
      <c r="H56" s="144">
        <f t="shared" ref="H56:I59" si="11">H57</f>
        <v>1.8</v>
      </c>
      <c r="I56" s="146">
        <f t="shared" si="11"/>
        <v>1.8</v>
      </c>
      <c r="J56" s="155">
        <f t="shared" si="5"/>
        <v>100</v>
      </c>
      <c r="K56" s="144">
        <f t="shared" si="4"/>
        <v>0</v>
      </c>
    </row>
    <row r="57" spans="1:11" s="95" customFormat="1" ht="23.45" customHeight="1" x14ac:dyDescent="0.25">
      <c r="A57" s="16" t="s">
        <v>77</v>
      </c>
      <c r="B57" s="97" t="s">
        <v>104</v>
      </c>
      <c r="C57" s="97">
        <v>13</v>
      </c>
      <c r="D57" s="101">
        <v>2310000</v>
      </c>
      <c r="E57" s="101"/>
      <c r="F57" s="100">
        <v>5</v>
      </c>
      <c r="G57" s="96">
        <f t="shared" si="1"/>
        <v>-3.2</v>
      </c>
      <c r="H57" s="144">
        <f t="shared" si="11"/>
        <v>1.8</v>
      </c>
      <c r="I57" s="146">
        <f t="shared" si="11"/>
        <v>1.8</v>
      </c>
      <c r="J57" s="155">
        <f t="shared" si="5"/>
        <v>100</v>
      </c>
      <c r="K57" s="144">
        <f t="shared" si="4"/>
        <v>0</v>
      </c>
    </row>
    <row r="58" spans="1:11" s="95" customFormat="1" ht="49.5" customHeight="1" x14ac:dyDescent="0.25">
      <c r="A58" s="16" t="s">
        <v>78</v>
      </c>
      <c r="B58" s="97" t="s">
        <v>104</v>
      </c>
      <c r="C58" s="97">
        <v>13</v>
      </c>
      <c r="D58" s="101">
        <v>2312134</v>
      </c>
      <c r="E58" s="101"/>
      <c r="F58" s="100">
        <v>5</v>
      </c>
      <c r="G58" s="96">
        <f t="shared" si="1"/>
        <v>-3.2</v>
      </c>
      <c r="H58" s="144">
        <f t="shared" si="11"/>
        <v>1.8</v>
      </c>
      <c r="I58" s="146">
        <f t="shared" si="11"/>
        <v>1.8</v>
      </c>
      <c r="J58" s="155">
        <f t="shared" si="5"/>
        <v>100</v>
      </c>
      <c r="K58" s="144">
        <f t="shared" si="4"/>
        <v>0</v>
      </c>
    </row>
    <row r="59" spans="1:11" s="95" customFormat="1" ht="33.950000000000003" customHeight="1" x14ac:dyDescent="0.25">
      <c r="A59" s="16" t="s">
        <v>61</v>
      </c>
      <c r="B59" s="97" t="s">
        <v>104</v>
      </c>
      <c r="C59" s="97">
        <v>13</v>
      </c>
      <c r="D59" s="101">
        <v>2312134</v>
      </c>
      <c r="E59" s="101">
        <v>200</v>
      </c>
      <c r="F59" s="100">
        <v>5</v>
      </c>
      <c r="G59" s="96">
        <f t="shared" si="1"/>
        <v>-3.2</v>
      </c>
      <c r="H59" s="144">
        <f t="shared" si="11"/>
        <v>1.8</v>
      </c>
      <c r="I59" s="146">
        <f t="shared" si="11"/>
        <v>1.8</v>
      </c>
      <c r="J59" s="155">
        <f t="shared" si="5"/>
        <v>100</v>
      </c>
      <c r="K59" s="144">
        <f t="shared" si="4"/>
        <v>0</v>
      </c>
    </row>
    <row r="60" spans="1:11" s="95" customFormat="1" ht="36" customHeight="1" x14ac:dyDescent="0.25">
      <c r="A60" s="16" t="s">
        <v>62</v>
      </c>
      <c r="B60" s="97" t="s">
        <v>104</v>
      </c>
      <c r="C60" s="97">
        <v>13</v>
      </c>
      <c r="D60" s="101">
        <v>2312134</v>
      </c>
      <c r="E60" s="101">
        <v>240</v>
      </c>
      <c r="F60" s="100">
        <v>5</v>
      </c>
      <c r="G60" s="96">
        <f t="shared" si="1"/>
        <v>-3.2</v>
      </c>
      <c r="H60" s="144">
        <v>1.8</v>
      </c>
      <c r="I60" s="156">
        <f>1800/1000</f>
        <v>1.8</v>
      </c>
      <c r="J60" s="155">
        <f t="shared" si="5"/>
        <v>100</v>
      </c>
      <c r="K60" s="144">
        <f t="shared" si="4"/>
        <v>0</v>
      </c>
    </row>
    <row r="61" spans="1:11" s="95" customFormat="1" ht="66" customHeight="1" x14ac:dyDescent="0.25">
      <c r="A61" s="16" t="s">
        <v>54</v>
      </c>
      <c r="B61" s="97" t="s">
        <v>104</v>
      </c>
      <c r="C61" s="97">
        <v>13</v>
      </c>
      <c r="D61" s="101">
        <v>2500000</v>
      </c>
      <c r="E61" s="101"/>
      <c r="F61" s="100">
        <v>556.1</v>
      </c>
      <c r="G61" s="96">
        <f t="shared" si="1"/>
        <v>181.49999999999989</v>
      </c>
      <c r="H61" s="144">
        <f>H62</f>
        <v>737.59999999999991</v>
      </c>
      <c r="I61" s="146">
        <f>I62</f>
        <v>584.74320999999998</v>
      </c>
      <c r="J61" s="155">
        <f t="shared" si="5"/>
        <v>79.276465563991323</v>
      </c>
      <c r="K61" s="144">
        <f t="shared" si="4"/>
        <v>152.85678999999993</v>
      </c>
    </row>
    <row r="62" spans="1:11" s="95" customFormat="1" ht="52.5" customHeight="1" x14ac:dyDescent="0.25">
      <c r="A62" s="16" t="s">
        <v>59</v>
      </c>
      <c r="B62" s="97" t="s">
        <v>104</v>
      </c>
      <c r="C62" s="97">
        <v>13</v>
      </c>
      <c r="D62" s="101">
        <v>2510000</v>
      </c>
      <c r="E62" s="101"/>
      <c r="F62" s="100">
        <f>F63+F69</f>
        <v>556.1</v>
      </c>
      <c r="G62" s="96">
        <f t="shared" si="1"/>
        <v>181.49999999999989</v>
      </c>
      <c r="H62" s="144">
        <f>H63+H69</f>
        <v>737.59999999999991</v>
      </c>
      <c r="I62" s="146">
        <f>I63+I69</f>
        <v>584.74320999999998</v>
      </c>
      <c r="J62" s="155">
        <f t="shared" si="5"/>
        <v>79.276465563991323</v>
      </c>
      <c r="K62" s="144">
        <f t="shared" si="4"/>
        <v>152.85678999999993</v>
      </c>
    </row>
    <row r="63" spans="1:11" s="95" customFormat="1" ht="33" customHeight="1" x14ac:dyDescent="0.25">
      <c r="A63" s="16" t="s">
        <v>79</v>
      </c>
      <c r="B63" s="97" t="s">
        <v>104</v>
      </c>
      <c r="C63" s="97">
        <v>13</v>
      </c>
      <c r="D63" s="101">
        <v>2510240</v>
      </c>
      <c r="E63" s="101"/>
      <c r="F63" s="100">
        <v>556.1</v>
      </c>
      <c r="G63" s="96">
        <f t="shared" si="1"/>
        <v>-303.3</v>
      </c>
      <c r="H63" s="144">
        <f>H64+H67</f>
        <v>252.8</v>
      </c>
      <c r="I63" s="146">
        <f>I64+I67</f>
        <v>238.76424</v>
      </c>
      <c r="J63" s="155">
        <f t="shared" si="5"/>
        <v>94.44787974683544</v>
      </c>
      <c r="K63" s="144">
        <f t="shared" si="4"/>
        <v>14.03576000000001</v>
      </c>
    </row>
    <row r="64" spans="1:11" s="95" customFormat="1" ht="80.25" customHeight="1" x14ac:dyDescent="0.25">
      <c r="A64" s="16" t="s">
        <v>57</v>
      </c>
      <c r="B64" s="97" t="s">
        <v>104</v>
      </c>
      <c r="C64" s="97">
        <v>13</v>
      </c>
      <c r="D64" s="101">
        <v>2510240</v>
      </c>
      <c r="E64" s="101">
        <v>100</v>
      </c>
      <c r="F64" s="100">
        <v>406.1</v>
      </c>
      <c r="G64" s="96">
        <f t="shared" si="1"/>
        <v>-267.5</v>
      </c>
      <c r="H64" s="144">
        <f>H65+H66</f>
        <v>138.60000000000002</v>
      </c>
      <c r="I64" s="146">
        <f>I65+I66</f>
        <v>134.60905</v>
      </c>
      <c r="J64" s="155">
        <f t="shared" si="5"/>
        <v>97.120526695526678</v>
      </c>
      <c r="K64" s="144">
        <f t="shared" si="4"/>
        <v>3.9909500000000264</v>
      </c>
    </row>
    <row r="65" spans="1:11" s="95" customFormat="1" ht="28.5" customHeight="1" x14ac:dyDescent="0.25">
      <c r="A65" s="16" t="s">
        <v>80</v>
      </c>
      <c r="B65" s="97" t="s">
        <v>104</v>
      </c>
      <c r="C65" s="97">
        <v>13</v>
      </c>
      <c r="D65" s="101">
        <v>2510240</v>
      </c>
      <c r="E65" s="101">
        <v>110</v>
      </c>
      <c r="F65" s="100">
        <v>30</v>
      </c>
      <c r="G65" s="96">
        <f t="shared" si="1"/>
        <v>-20.7</v>
      </c>
      <c r="H65" s="144">
        <v>9.3000000000000007</v>
      </c>
      <c r="I65" s="156">
        <f>9300/1000</f>
        <v>9.3000000000000007</v>
      </c>
      <c r="J65" s="155">
        <f t="shared" si="5"/>
        <v>100</v>
      </c>
      <c r="K65" s="144">
        <f t="shared" si="4"/>
        <v>0</v>
      </c>
    </row>
    <row r="66" spans="1:11" s="95" customFormat="1" ht="33.950000000000003" customHeight="1" x14ac:dyDescent="0.25">
      <c r="A66" s="16" t="s">
        <v>58</v>
      </c>
      <c r="B66" s="97" t="s">
        <v>104</v>
      </c>
      <c r="C66" s="97">
        <v>13</v>
      </c>
      <c r="D66" s="101">
        <v>2510240</v>
      </c>
      <c r="E66" s="101">
        <v>120</v>
      </c>
      <c r="F66" s="100">
        <v>376.1</v>
      </c>
      <c r="G66" s="96">
        <f t="shared" si="1"/>
        <v>-246.8</v>
      </c>
      <c r="H66" s="144">
        <v>129.30000000000001</v>
      </c>
      <c r="I66" s="156">
        <f>(83946.05+16233+25130)/1000</f>
        <v>125.30905</v>
      </c>
      <c r="J66" s="155">
        <f t="shared" si="5"/>
        <v>96.913418406805874</v>
      </c>
      <c r="K66" s="144">
        <f t="shared" si="4"/>
        <v>3.9909500000000122</v>
      </c>
    </row>
    <row r="67" spans="1:11" s="95" customFormat="1" ht="35.25" customHeight="1" x14ac:dyDescent="0.25">
      <c r="A67" s="16" t="s">
        <v>61</v>
      </c>
      <c r="B67" s="97" t="s">
        <v>104</v>
      </c>
      <c r="C67" s="97">
        <v>13</v>
      </c>
      <c r="D67" s="101">
        <v>2510240</v>
      </c>
      <c r="E67" s="101">
        <v>200</v>
      </c>
      <c r="F67" s="100">
        <v>150</v>
      </c>
      <c r="G67" s="96">
        <f t="shared" si="1"/>
        <v>-35.799999999999997</v>
      </c>
      <c r="H67" s="144">
        <f>H68</f>
        <v>114.2</v>
      </c>
      <c r="I67" s="146">
        <f>I68</f>
        <v>104.15519</v>
      </c>
      <c r="J67" s="155">
        <f t="shared" si="5"/>
        <v>91.204194395796847</v>
      </c>
      <c r="K67" s="144">
        <f t="shared" si="4"/>
        <v>10.044809999999998</v>
      </c>
    </row>
    <row r="68" spans="1:11" s="95" customFormat="1" ht="33" customHeight="1" x14ac:dyDescent="0.25">
      <c r="A68" s="16" t="s">
        <v>62</v>
      </c>
      <c r="B68" s="97" t="s">
        <v>104</v>
      </c>
      <c r="C68" s="97">
        <v>13</v>
      </c>
      <c r="D68" s="101">
        <v>2510240</v>
      </c>
      <c r="E68" s="101">
        <v>240</v>
      </c>
      <c r="F68" s="100">
        <v>150</v>
      </c>
      <c r="G68" s="96">
        <f t="shared" si="1"/>
        <v>-35.799999999999997</v>
      </c>
      <c r="H68" s="144">
        <v>114.2</v>
      </c>
      <c r="I68" s="156">
        <f>104155.19/1000</f>
        <v>104.15519</v>
      </c>
      <c r="J68" s="155">
        <f t="shared" si="5"/>
        <v>91.204194395796847</v>
      </c>
      <c r="K68" s="144">
        <f t="shared" si="4"/>
        <v>10.044809999999998</v>
      </c>
    </row>
    <row r="69" spans="1:11" s="95" customFormat="1" ht="63" customHeight="1" x14ac:dyDescent="0.25">
      <c r="A69" s="16" t="s">
        <v>275</v>
      </c>
      <c r="B69" s="97" t="s">
        <v>104</v>
      </c>
      <c r="C69" s="97" t="s">
        <v>209</v>
      </c>
      <c r="D69" s="101">
        <v>2510059</v>
      </c>
      <c r="E69" s="101"/>
      <c r="F69" s="100">
        <f>F70+F72+F74</f>
        <v>0</v>
      </c>
      <c r="G69" s="96">
        <f t="shared" si="1"/>
        <v>484.79999999999995</v>
      </c>
      <c r="H69" s="144">
        <f>H70+H72+H74</f>
        <v>484.79999999999995</v>
      </c>
      <c r="I69" s="146">
        <f>I70+I72+I74</f>
        <v>345.97896999999995</v>
      </c>
      <c r="J69" s="155">
        <f t="shared" si="5"/>
        <v>71.365299092409245</v>
      </c>
      <c r="K69" s="144">
        <f t="shared" si="4"/>
        <v>138.82103000000001</v>
      </c>
    </row>
    <row r="70" spans="1:11" s="95" customFormat="1" ht="89.25" customHeight="1" x14ac:dyDescent="0.25">
      <c r="A70" s="16" t="s">
        <v>57</v>
      </c>
      <c r="B70" s="97" t="s">
        <v>104</v>
      </c>
      <c r="C70" s="97" t="s">
        <v>209</v>
      </c>
      <c r="D70" s="101">
        <v>2510059</v>
      </c>
      <c r="E70" s="101">
        <v>100</v>
      </c>
      <c r="F70" s="100">
        <f>F71</f>
        <v>0</v>
      </c>
      <c r="G70" s="96">
        <f t="shared" si="1"/>
        <v>323.39999999999998</v>
      </c>
      <c r="H70" s="144">
        <f>H71</f>
        <v>323.39999999999998</v>
      </c>
      <c r="I70" s="146">
        <f>I71</f>
        <v>251.16783999999998</v>
      </c>
      <c r="J70" s="155">
        <f t="shared" si="5"/>
        <v>77.664761904761903</v>
      </c>
      <c r="K70" s="144">
        <f t="shared" si="4"/>
        <v>72.232159999999993</v>
      </c>
    </row>
    <row r="71" spans="1:11" s="95" customFormat="1" ht="33" customHeight="1" x14ac:dyDescent="0.25">
      <c r="A71" s="16" t="s">
        <v>80</v>
      </c>
      <c r="B71" s="97" t="s">
        <v>104</v>
      </c>
      <c r="C71" s="97" t="s">
        <v>209</v>
      </c>
      <c r="D71" s="101">
        <v>2510059</v>
      </c>
      <c r="E71" s="101">
        <v>110</v>
      </c>
      <c r="F71" s="100">
        <v>0</v>
      </c>
      <c r="G71" s="96">
        <f t="shared" si="1"/>
        <v>323.39999999999998</v>
      </c>
      <c r="H71" s="144">
        <v>323.39999999999998</v>
      </c>
      <c r="I71" s="156">
        <f>(192943.34+58224.5)/1000</f>
        <v>251.16783999999998</v>
      </c>
      <c r="J71" s="155">
        <f t="shared" si="5"/>
        <v>77.664761904761903</v>
      </c>
      <c r="K71" s="144">
        <f t="shared" si="4"/>
        <v>72.232159999999993</v>
      </c>
    </row>
    <row r="72" spans="1:11" s="95" customFormat="1" ht="33" customHeight="1" x14ac:dyDescent="0.25">
      <c r="A72" s="16" t="s">
        <v>61</v>
      </c>
      <c r="B72" s="97" t="s">
        <v>104</v>
      </c>
      <c r="C72" s="97" t="s">
        <v>209</v>
      </c>
      <c r="D72" s="101">
        <v>2510059</v>
      </c>
      <c r="E72" s="101">
        <v>200</v>
      </c>
      <c r="F72" s="100">
        <f>F73</f>
        <v>0</v>
      </c>
      <c r="G72" s="96">
        <f t="shared" si="1"/>
        <v>159.4</v>
      </c>
      <c r="H72" s="144">
        <f>H73</f>
        <v>159.4</v>
      </c>
      <c r="I72" s="146">
        <f>I73</f>
        <v>94.163139999999999</v>
      </c>
      <c r="J72" s="155">
        <f t="shared" ref="J72:J126" si="12">I72/H72*100</f>
        <v>59.073488080301132</v>
      </c>
      <c r="K72" s="144">
        <f t="shared" si="4"/>
        <v>65.236860000000007</v>
      </c>
    </row>
    <row r="73" spans="1:11" s="95" customFormat="1" ht="33" customHeight="1" x14ac:dyDescent="0.25">
      <c r="A73" s="16" t="s">
        <v>62</v>
      </c>
      <c r="B73" s="97" t="s">
        <v>104</v>
      </c>
      <c r="C73" s="97" t="s">
        <v>209</v>
      </c>
      <c r="D73" s="101">
        <v>2510059</v>
      </c>
      <c r="E73" s="101">
        <v>240</v>
      </c>
      <c r="F73" s="100">
        <v>0</v>
      </c>
      <c r="G73" s="96">
        <f t="shared" si="1"/>
        <v>159.4</v>
      </c>
      <c r="H73" s="144">
        <v>159.4</v>
      </c>
      <c r="I73" s="156">
        <f>(4213.14+20885+42065+27000)/1000</f>
        <v>94.163139999999999</v>
      </c>
      <c r="J73" s="155">
        <f t="shared" si="12"/>
        <v>59.073488080301132</v>
      </c>
      <c r="K73" s="144">
        <f t="shared" ref="K73:K136" si="13">H73-I73</f>
        <v>65.236860000000007</v>
      </c>
    </row>
    <row r="74" spans="1:11" s="95" customFormat="1" ht="33" customHeight="1" x14ac:dyDescent="0.25">
      <c r="A74" s="16" t="s">
        <v>63</v>
      </c>
      <c r="B74" s="97" t="s">
        <v>104</v>
      </c>
      <c r="C74" s="97" t="s">
        <v>209</v>
      </c>
      <c r="D74" s="101">
        <v>2510059</v>
      </c>
      <c r="E74" s="101">
        <v>800</v>
      </c>
      <c r="F74" s="100">
        <f>F75</f>
        <v>0</v>
      </c>
      <c r="G74" s="96">
        <f t="shared" si="1"/>
        <v>2</v>
      </c>
      <c r="H74" s="144">
        <f>H75</f>
        <v>2</v>
      </c>
      <c r="I74" s="146">
        <f>I75</f>
        <v>0.64798999999999995</v>
      </c>
      <c r="J74" s="155">
        <f t="shared" si="12"/>
        <v>32.399499999999996</v>
      </c>
      <c r="K74" s="144">
        <f t="shared" si="13"/>
        <v>1.3520099999999999</v>
      </c>
    </row>
    <row r="75" spans="1:11" s="95" customFormat="1" ht="33" customHeight="1" x14ac:dyDescent="0.25">
      <c r="A75" s="16" t="s">
        <v>64</v>
      </c>
      <c r="B75" s="97" t="s">
        <v>104</v>
      </c>
      <c r="C75" s="97" t="s">
        <v>209</v>
      </c>
      <c r="D75" s="101">
        <v>2510059</v>
      </c>
      <c r="E75" s="101">
        <v>850</v>
      </c>
      <c r="F75" s="100">
        <v>0</v>
      </c>
      <c r="G75" s="96">
        <f t="shared" si="1"/>
        <v>2</v>
      </c>
      <c r="H75" s="144">
        <v>2</v>
      </c>
      <c r="I75" s="156">
        <f>647.99/1000</f>
        <v>0.64798999999999995</v>
      </c>
      <c r="J75" s="155">
        <f t="shared" si="12"/>
        <v>32.399499999999996</v>
      </c>
      <c r="K75" s="144">
        <f t="shared" si="13"/>
        <v>1.3520099999999999</v>
      </c>
    </row>
    <row r="76" spans="1:11" s="95" customFormat="1" ht="21" customHeight="1" x14ac:dyDescent="0.25">
      <c r="A76" s="91" t="s">
        <v>10</v>
      </c>
      <c r="B76" s="92" t="s">
        <v>105</v>
      </c>
      <c r="C76" s="92"/>
      <c r="D76" s="103"/>
      <c r="E76" s="103"/>
      <c r="F76" s="93">
        <f>F77</f>
        <v>164</v>
      </c>
      <c r="G76" s="94">
        <f t="shared" si="1"/>
        <v>0</v>
      </c>
      <c r="H76" s="160">
        <f t="shared" ref="H76:I80" si="14">H77</f>
        <v>164</v>
      </c>
      <c r="I76" s="150">
        <f t="shared" si="14"/>
        <v>164</v>
      </c>
      <c r="J76" s="155">
        <f t="shared" si="12"/>
        <v>100</v>
      </c>
      <c r="K76" s="160">
        <f t="shared" si="13"/>
        <v>0</v>
      </c>
    </row>
    <row r="77" spans="1:11" s="95" customFormat="1" ht="39" customHeight="1" x14ac:dyDescent="0.25">
      <c r="A77" s="16" t="s">
        <v>11</v>
      </c>
      <c r="B77" s="97" t="s">
        <v>105</v>
      </c>
      <c r="C77" s="97" t="s">
        <v>106</v>
      </c>
      <c r="D77" s="101"/>
      <c r="E77" s="101"/>
      <c r="F77" s="100">
        <v>164</v>
      </c>
      <c r="G77" s="96">
        <f t="shared" si="1"/>
        <v>0</v>
      </c>
      <c r="H77" s="144">
        <f t="shared" si="14"/>
        <v>164</v>
      </c>
      <c r="I77" s="146">
        <f t="shared" si="14"/>
        <v>164</v>
      </c>
      <c r="J77" s="155">
        <f t="shared" si="12"/>
        <v>100</v>
      </c>
      <c r="K77" s="160">
        <f t="shared" si="13"/>
        <v>0</v>
      </c>
    </row>
    <row r="78" spans="1:11" s="95" customFormat="1" ht="18.75" customHeight="1" x14ac:dyDescent="0.25">
      <c r="A78" s="16" t="s">
        <v>81</v>
      </c>
      <c r="B78" s="97" t="s">
        <v>105</v>
      </c>
      <c r="C78" s="97" t="s">
        <v>106</v>
      </c>
      <c r="D78" s="101">
        <v>5000000</v>
      </c>
      <c r="E78" s="101"/>
      <c r="F78" s="100">
        <v>164</v>
      </c>
      <c r="G78" s="96">
        <f t="shared" si="1"/>
        <v>0</v>
      </c>
      <c r="H78" s="144">
        <f t="shared" si="14"/>
        <v>164</v>
      </c>
      <c r="I78" s="146">
        <f t="shared" si="14"/>
        <v>164</v>
      </c>
      <c r="J78" s="155">
        <f t="shared" si="12"/>
        <v>100</v>
      </c>
      <c r="K78" s="160">
        <f t="shared" si="13"/>
        <v>0</v>
      </c>
    </row>
    <row r="79" spans="1:11" s="95" customFormat="1" ht="57.75" customHeight="1" x14ac:dyDescent="0.25">
      <c r="A79" s="16" t="s">
        <v>82</v>
      </c>
      <c r="B79" s="97" t="s">
        <v>105</v>
      </c>
      <c r="C79" s="97" t="s">
        <v>106</v>
      </c>
      <c r="D79" s="101">
        <v>5005118</v>
      </c>
      <c r="E79" s="101"/>
      <c r="F79" s="100">
        <v>164</v>
      </c>
      <c r="G79" s="96">
        <f t="shared" si="1"/>
        <v>0</v>
      </c>
      <c r="H79" s="144">
        <f t="shared" si="14"/>
        <v>164</v>
      </c>
      <c r="I79" s="146">
        <f t="shared" si="14"/>
        <v>164</v>
      </c>
      <c r="J79" s="155">
        <f t="shared" si="12"/>
        <v>100</v>
      </c>
      <c r="K79" s="160">
        <f t="shared" si="13"/>
        <v>0</v>
      </c>
    </row>
    <row r="80" spans="1:11" s="95" customFormat="1" ht="94.5" customHeight="1" x14ac:dyDescent="0.25">
      <c r="A80" s="16" t="s">
        <v>57</v>
      </c>
      <c r="B80" s="97" t="s">
        <v>105</v>
      </c>
      <c r="C80" s="97" t="s">
        <v>106</v>
      </c>
      <c r="D80" s="101">
        <v>5005118</v>
      </c>
      <c r="E80" s="101">
        <v>100</v>
      </c>
      <c r="F80" s="100">
        <v>164</v>
      </c>
      <c r="G80" s="96">
        <f t="shared" si="1"/>
        <v>0</v>
      </c>
      <c r="H80" s="144">
        <f t="shared" si="14"/>
        <v>164</v>
      </c>
      <c r="I80" s="146">
        <f t="shared" si="14"/>
        <v>164</v>
      </c>
      <c r="J80" s="155">
        <f t="shared" si="12"/>
        <v>100</v>
      </c>
      <c r="K80" s="160">
        <f t="shared" si="13"/>
        <v>0</v>
      </c>
    </row>
    <row r="81" spans="1:11" s="95" customFormat="1" ht="39" customHeight="1" x14ac:dyDescent="0.25">
      <c r="A81" s="16" t="s">
        <v>58</v>
      </c>
      <c r="B81" s="97" t="s">
        <v>105</v>
      </c>
      <c r="C81" s="97" t="s">
        <v>106</v>
      </c>
      <c r="D81" s="101">
        <v>5005118</v>
      </c>
      <c r="E81" s="101">
        <v>120</v>
      </c>
      <c r="F81" s="100">
        <v>164</v>
      </c>
      <c r="G81" s="96">
        <f t="shared" si="1"/>
        <v>0</v>
      </c>
      <c r="H81" s="144">
        <v>164</v>
      </c>
      <c r="I81" s="156">
        <f>(128828+35172)/1000</f>
        <v>164</v>
      </c>
      <c r="J81" s="155">
        <f t="shared" si="12"/>
        <v>100</v>
      </c>
      <c r="K81" s="160">
        <f t="shared" si="13"/>
        <v>0</v>
      </c>
    </row>
    <row r="82" spans="1:11" s="95" customFormat="1" ht="48" customHeight="1" x14ac:dyDescent="0.25">
      <c r="A82" s="91" t="s">
        <v>12</v>
      </c>
      <c r="B82" s="92" t="s">
        <v>106</v>
      </c>
      <c r="C82" s="92"/>
      <c r="D82" s="103"/>
      <c r="E82" s="103"/>
      <c r="F82" s="93">
        <v>110</v>
      </c>
      <c r="G82" s="94">
        <f t="shared" si="1"/>
        <v>-51.2</v>
      </c>
      <c r="H82" s="160">
        <f>H83+H89+H99</f>
        <v>58.8</v>
      </c>
      <c r="I82" s="150">
        <f>I83+I89+I99</f>
        <v>55.6</v>
      </c>
      <c r="J82" s="155">
        <f t="shared" si="12"/>
        <v>94.557823129251702</v>
      </c>
      <c r="K82" s="160">
        <f t="shared" si="13"/>
        <v>3.1999999999999957</v>
      </c>
    </row>
    <row r="83" spans="1:11" s="95" customFormat="1" ht="17.25" customHeight="1" x14ac:dyDescent="0.25">
      <c r="A83" s="16" t="s">
        <v>13</v>
      </c>
      <c r="B83" s="97" t="s">
        <v>106</v>
      </c>
      <c r="C83" s="97" t="s">
        <v>107</v>
      </c>
      <c r="D83" s="101"/>
      <c r="E83" s="101"/>
      <c r="F83" s="100" t="e">
        <f>F84</f>
        <v>#REF!</v>
      </c>
      <c r="G83" s="96" t="e">
        <f t="shared" si="1"/>
        <v>#REF!</v>
      </c>
      <c r="H83" s="144">
        <f>H84</f>
        <v>40</v>
      </c>
      <c r="I83" s="146">
        <f>I84</f>
        <v>40</v>
      </c>
      <c r="J83" s="155">
        <f t="shared" si="12"/>
        <v>100</v>
      </c>
      <c r="K83" s="160">
        <f t="shared" si="13"/>
        <v>0</v>
      </c>
    </row>
    <row r="84" spans="1:11" s="95" customFormat="1" ht="67.5" customHeight="1" x14ac:dyDescent="0.25">
      <c r="A84" s="16" t="s">
        <v>70</v>
      </c>
      <c r="B84" s="97" t="s">
        <v>106</v>
      </c>
      <c r="C84" s="97" t="s">
        <v>107</v>
      </c>
      <c r="D84" s="101">
        <v>1300000</v>
      </c>
      <c r="E84" s="101"/>
      <c r="F84" s="100" t="e">
        <f>F85</f>
        <v>#REF!</v>
      </c>
      <c r="G84" s="96" t="e">
        <f t="shared" si="1"/>
        <v>#REF!</v>
      </c>
      <c r="H84" s="144">
        <f>H85</f>
        <v>40</v>
      </c>
      <c r="I84" s="146">
        <f>I85</f>
        <v>40</v>
      </c>
      <c r="J84" s="155">
        <f t="shared" si="12"/>
        <v>100</v>
      </c>
      <c r="K84" s="160">
        <f t="shared" si="13"/>
        <v>0</v>
      </c>
    </row>
    <row r="85" spans="1:11" s="95" customFormat="1" ht="24" customHeight="1" x14ac:dyDescent="0.25">
      <c r="A85" s="16" t="s">
        <v>71</v>
      </c>
      <c r="B85" s="97" t="s">
        <v>106</v>
      </c>
      <c r="C85" s="97" t="s">
        <v>107</v>
      </c>
      <c r="D85" s="101">
        <v>1310000</v>
      </c>
      <c r="E85" s="101"/>
      <c r="F85" s="100" t="e">
        <f>#REF!+F86</f>
        <v>#REF!</v>
      </c>
      <c r="G85" s="96" t="e">
        <f t="shared" si="1"/>
        <v>#REF!</v>
      </c>
      <c r="H85" s="144">
        <f>H86</f>
        <v>40</v>
      </c>
      <c r="I85" s="146">
        <f>I87</f>
        <v>40</v>
      </c>
      <c r="J85" s="155">
        <f t="shared" si="12"/>
        <v>100</v>
      </c>
      <c r="K85" s="160">
        <f t="shared" si="13"/>
        <v>0</v>
      </c>
    </row>
    <row r="86" spans="1:11" s="95" customFormat="1" ht="105" customHeight="1" x14ac:dyDescent="0.25">
      <c r="A86" s="16" t="s">
        <v>268</v>
      </c>
      <c r="B86" s="97" t="s">
        <v>106</v>
      </c>
      <c r="C86" s="97" t="s">
        <v>107</v>
      </c>
      <c r="D86" s="101">
        <v>1315931</v>
      </c>
      <c r="E86" s="101"/>
      <c r="F86" s="100">
        <f>F87</f>
        <v>40</v>
      </c>
      <c r="G86" s="96">
        <f t="shared" ref="G86:G173" si="15">H86-F86</f>
        <v>0</v>
      </c>
      <c r="H86" s="144">
        <f>H87</f>
        <v>40</v>
      </c>
      <c r="I86" s="146">
        <f>I87</f>
        <v>40</v>
      </c>
      <c r="J86" s="155">
        <f t="shared" si="12"/>
        <v>100</v>
      </c>
      <c r="K86" s="160">
        <f t="shared" si="13"/>
        <v>0</v>
      </c>
    </row>
    <row r="87" spans="1:11" s="95" customFormat="1" ht="49.5" customHeight="1" x14ac:dyDescent="0.25">
      <c r="A87" s="16" t="s">
        <v>61</v>
      </c>
      <c r="B87" s="97" t="s">
        <v>106</v>
      </c>
      <c r="C87" s="97" t="s">
        <v>107</v>
      </c>
      <c r="D87" s="101">
        <v>1315931</v>
      </c>
      <c r="E87" s="101">
        <v>200</v>
      </c>
      <c r="F87" s="100">
        <f>F88</f>
        <v>40</v>
      </c>
      <c r="G87" s="96">
        <f t="shared" si="15"/>
        <v>0</v>
      </c>
      <c r="H87" s="144">
        <f>H88</f>
        <v>40</v>
      </c>
      <c r="I87" s="146">
        <f>I88</f>
        <v>40</v>
      </c>
      <c r="J87" s="155">
        <f t="shared" si="12"/>
        <v>100</v>
      </c>
      <c r="K87" s="160">
        <f t="shared" si="13"/>
        <v>0</v>
      </c>
    </row>
    <row r="88" spans="1:11" s="95" customFormat="1" ht="49.5" customHeight="1" x14ac:dyDescent="0.25">
      <c r="A88" s="16" t="s">
        <v>62</v>
      </c>
      <c r="B88" s="97" t="s">
        <v>106</v>
      </c>
      <c r="C88" s="97" t="s">
        <v>107</v>
      </c>
      <c r="D88" s="101">
        <v>1315931</v>
      </c>
      <c r="E88" s="101">
        <v>240</v>
      </c>
      <c r="F88" s="100">
        <v>40</v>
      </c>
      <c r="G88" s="96">
        <f t="shared" si="15"/>
        <v>0</v>
      </c>
      <c r="H88" s="144">
        <v>40</v>
      </c>
      <c r="I88" s="156">
        <f>(12048+27952)/1000</f>
        <v>40</v>
      </c>
      <c r="J88" s="155">
        <f t="shared" si="12"/>
        <v>100</v>
      </c>
      <c r="K88" s="160">
        <f t="shared" si="13"/>
        <v>0</v>
      </c>
    </row>
    <row r="89" spans="1:11" s="95" customFormat="1" ht="49.5" customHeight="1" x14ac:dyDescent="0.25">
      <c r="A89" s="16" t="s">
        <v>39</v>
      </c>
      <c r="B89" s="97" t="s">
        <v>106</v>
      </c>
      <c r="C89" s="97" t="s">
        <v>110</v>
      </c>
      <c r="D89" s="101"/>
      <c r="E89" s="101"/>
      <c r="F89" s="100">
        <v>60</v>
      </c>
      <c r="G89" s="96">
        <f t="shared" si="15"/>
        <v>-51.2</v>
      </c>
      <c r="H89" s="144">
        <f>H90</f>
        <v>8.8000000000000007</v>
      </c>
      <c r="I89" s="146">
        <f>I90</f>
        <v>5.6</v>
      </c>
      <c r="J89" s="155">
        <f t="shared" si="12"/>
        <v>63.636363636363626</v>
      </c>
      <c r="K89" s="160">
        <f t="shared" si="13"/>
        <v>3.2000000000000011</v>
      </c>
    </row>
    <row r="90" spans="1:11" s="95" customFormat="1" ht="63.2" customHeight="1" x14ac:dyDescent="0.25">
      <c r="A90" s="16" t="s">
        <v>65</v>
      </c>
      <c r="B90" s="97" t="s">
        <v>106</v>
      </c>
      <c r="C90" s="97" t="s">
        <v>110</v>
      </c>
      <c r="D90" s="101">
        <v>1400000</v>
      </c>
      <c r="E90" s="101"/>
      <c r="F90" s="100">
        <v>60</v>
      </c>
      <c r="G90" s="96">
        <f t="shared" si="15"/>
        <v>-51.2</v>
      </c>
      <c r="H90" s="144">
        <f>H91+H95</f>
        <v>8.8000000000000007</v>
      </c>
      <c r="I90" s="146">
        <f>I91+I95</f>
        <v>5.6</v>
      </c>
      <c r="J90" s="155">
        <f t="shared" si="12"/>
        <v>63.636363636363626</v>
      </c>
      <c r="K90" s="160">
        <f t="shared" si="13"/>
        <v>3.2000000000000011</v>
      </c>
    </row>
    <row r="91" spans="1:11" s="95" customFormat="1" ht="49.5" customHeight="1" x14ac:dyDescent="0.25">
      <c r="A91" s="16" t="s">
        <v>40</v>
      </c>
      <c r="B91" s="97" t="s">
        <v>106</v>
      </c>
      <c r="C91" s="97" t="s">
        <v>110</v>
      </c>
      <c r="D91" s="101">
        <v>1410000</v>
      </c>
      <c r="E91" s="101"/>
      <c r="F91" s="100">
        <v>55</v>
      </c>
      <c r="G91" s="96">
        <f t="shared" si="15"/>
        <v>-50</v>
      </c>
      <c r="H91" s="144">
        <f t="shared" ref="H91:I93" si="16">H92</f>
        <v>5</v>
      </c>
      <c r="I91" s="146">
        <f t="shared" si="16"/>
        <v>1.8</v>
      </c>
      <c r="J91" s="155">
        <f t="shared" si="12"/>
        <v>36</v>
      </c>
      <c r="K91" s="160">
        <f t="shared" si="13"/>
        <v>3.2</v>
      </c>
    </row>
    <row r="92" spans="1:11" s="95" customFormat="1" ht="61.5" customHeight="1" x14ac:dyDescent="0.25">
      <c r="A92" s="16" t="s">
        <v>83</v>
      </c>
      <c r="B92" s="97" t="s">
        <v>106</v>
      </c>
      <c r="C92" s="97" t="s">
        <v>110</v>
      </c>
      <c r="D92" s="101">
        <v>1412108</v>
      </c>
      <c r="E92" s="101"/>
      <c r="F92" s="100">
        <v>5</v>
      </c>
      <c r="G92" s="96">
        <f t="shared" si="15"/>
        <v>0</v>
      </c>
      <c r="H92" s="144">
        <f t="shared" si="16"/>
        <v>5</v>
      </c>
      <c r="I92" s="146">
        <f t="shared" si="16"/>
        <v>1.8</v>
      </c>
      <c r="J92" s="155">
        <f t="shared" si="12"/>
        <v>36</v>
      </c>
      <c r="K92" s="160">
        <f t="shared" si="13"/>
        <v>3.2</v>
      </c>
    </row>
    <row r="93" spans="1:11" s="95" customFormat="1" ht="41.25" customHeight="1" x14ac:dyDescent="0.25">
      <c r="A93" s="16" t="s">
        <v>61</v>
      </c>
      <c r="B93" s="97" t="s">
        <v>106</v>
      </c>
      <c r="C93" s="97" t="s">
        <v>110</v>
      </c>
      <c r="D93" s="101">
        <v>1412108</v>
      </c>
      <c r="E93" s="101">
        <v>200</v>
      </c>
      <c r="F93" s="100">
        <v>5</v>
      </c>
      <c r="G93" s="96">
        <f t="shared" si="15"/>
        <v>0</v>
      </c>
      <c r="H93" s="144">
        <f t="shared" si="16"/>
        <v>5</v>
      </c>
      <c r="I93" s="146">
        <f t="shared" si="16"/>
        <v>1.8</v>
      </c>
      <c r="J93" s="155">
        <f t="shared" si="12"/>
        <v>36</v>
      </c>
      <c r="K93" s="160">
        <f t="shared" si="13"/>
        <v>3.2</v>
      </c>
    </row>
    <row r="94" spans="1:11" s="95" customFormat="1" ht="42" customHeight="1" x14ac:dyDescent="0.25">
      <c r="A94" s="16" t="s">
        <v>62</v>
      </c>
      <c r="B94" s="97" t="s">
        <v>106</v>
      </c>
      <c r="C94" s="97" t="s">
        <v>110</v>
      </c>
      <c r="D94" s="101">
        <v>1412108</v>
      </c>
      <c r="E94" s="101">
        <v>240</v>
      </c>
      <c r="F94" s="100">
        <v>5</v>
      </c>
      <c r="G94" s="96">
        <f t="shared" si="15"/>
        <v>0</v>
      </c>
      <c r="H94" s="144">
        <v>5</v>
      </c>
      <c r="I94" s="156">
        <f>1800/1000</f>
        <v>1.8</v>
      </c>
      <c r="J94" s="155">
        <f t="shared" si="12"/>
        <v>36</v>
      </c>
      <c r="K94" s="160">
        <f t="shared" si="13"/>
        <v>3.2</v>
      </c>
    </row>
    <row r="95" spans="1:11" s="95" customFormat="1" ht="49.5" customHeight="1" x14ac:dyDescent="0.25">
      <c r="A95" s="16" t="s">
        <v>41</v>
      </c>
      <c r="B95" s="97" t="s">
        <v>106</v>
      </c>
      <c r="C95" s="97" t="s">
        <v>110</v>
      </c>
      <c r="D95" s="101">
        <v>1420000</v>
      </c>
      <c r="E95" s="101"/>
      <c r="F95" s="100">
        <v>5</v>
      </c>
      <c r="G95" s="96">
        <f t="shared" si="15"/>
        <v>-1.2000000000000002</v>
      </c>
      <c r="H95" s="144">
        <f t="shared" ref="H95:I97" si="17">H96</f>
        <v>3.8</v>
      </c>
      <c r="I95" s="146">
        <f t="shared" si="17"/>
        <v>3.8</v>
      </c>
      <c r="J95" s="155">
        <f t="shared" si="12"/>
        <v>100</v>
      </c>
      <c r="K95" s="160">
        <f t="shared" si="13"/>
        <v>0</v>
      </c>
    </row>
    <row r="96" spans="1:11" s="95" customFormat="1" ht="49.5" customHeight="1" x14ac:dyDescent="0.25">
      <c r="A96" s="16" t="s">
        <v>42</v>
      </c>
      <c r="B96" s="97" t="s">
        <v>106</v>
      </c>
      <c r="C96" s="97" t="s">
        <v>110</v>
      </c>
      <c r="D96" s="101">
        <v>1422123</v>
      </c>
      <c r="E96" s="101"/>
      <c r="F96" s="100">
        <v>5</v>
      </c>
      <c r="G96" s="96">
        <f t="shared" si="15"/>
        <v>-1.2000000000000002</v>
      </c>
      <c r="H96" s="144">
        <f t="shared" si="17"/>
        <v>3.8</v>
      </c>
      <c r="I96" s="146">
        <f t="shared" si="17"/>
        <v>3.8</v>
      </c>
      <c r="J96" s="155">
        <f t="shared" si="12"/>
        <v>100</v>
      </c>
      <c r="K96" s="160">
        <f t="shared" si="13"/>
        <v>0</v>
      </c>
    </row>
    <row r="97" spans="1:11" s="95" customFormat="1" ht="49.5" customHeight="1" x14ac:dyDescent="0.25">
      <c r="A97" s="16" t="s">
        <v>61</v>
      </c>
      <c r="B97" s="97" t="s">
        <v>106</v>
      </c>
      <c r="C97" s="97" t="s">
        <v>110</v>
      </c>
      <c r="D97" s="101">
        <v>1422123</v>
      </c>
      <c r="E97" s="101">
        <v>200</v>
      </c>
      <c r="F97" s="100">
        <v>5</v>
      </c>
      <c r="G97" s="96">
        <f t="shared" si="15"/>
        <v>-1.2000000000000002</v>
      </c>
      <c r="H97" s="144">
        <f t="shared" si="17"/>
        <v>3.8</v>
      </c>
      <c r="I97" s="146">
        <f t="shared" si="17"/>
        <v>3.8</v>
      </c>
      <c r="J97" s="155">
        <f t="shared" si="12"/>
        <v>100</v>
      </c>
      <c r="K97" s="160">
        <f t="shared" si="13"/>
        <v>0</v>
      </c>
    </row>
    <row r="98" spans="1:11" s="95" customFormat="1" ht="49.5" customHeight="1" x14ac:dyDescent="0.25">
      <c r="A98" s="16" t="s">
        <v>62</v>
      </c>
      <c r="B98" s="97" t="s">
        <v>106</v>
      </c>
      <c r="C98" s="97" t="s">
        <v>110</v>
      </c>
      <c r="D98" s="101">
        <v>1422123</v>
      </c>
      <c r="E98" s="101">
        <v>240</v>
      </c>
      <c r="F98" s="100">
        <v>5</v>
      </c>
      <c r="G98" s="96">
        <f t="shared" si="15"/>
        <v>-1.2000000000000002</v>
      </c>
      <c r="H98" s="144">
        <v>3.8</v>
      </c>
      <c r="I98" s="156">
        <f>3800/1000</f>
        <v>3.8</v>
      </c>
      <c r="J98" s="155">
        <f t="shared" si="12"/>
        <v>100</v>
      </c>
      <c r="K98" s="160">
        <f t="shared" si="13"/>
        <v>0</v>
      </c>
    </row>
    <row r="99" spans="1:11" s="95" customFormat="1" ht="49.5" customHeight="1" x14ac:dyDescent="0.25">
      <c r="A99" s="16" t="s">
        <v>219</v>
      </c>
      <c r="B99" s="97" t="s">
        <v>106</v>
      </c>
      <c r="C99" s="97" t="s">
        <v>210</v>
      </c>
      <c r="D99" s="101"/>
      <c r="E99" s="101"/>
      <c r="F99" s="100">
        <v>10</v>
      </c>
      <c r="G99" s="96">
        <f>G100</f>
        <v>0</v>
      </c>
      <c r="H99" s="144">
        <f>H100</f>
        <v>10</v>
      </c>
      <c r="I99" s="146">
        <f>I100</f>
        <v>10</v>
      </c>
      <c r="J99" s="155">
        <f t="shared" si="12"/>
        <v>100</v>
      </c>
      <c r="K99" s="160">
        <f t="shared" si="13"/>
        <v>0</v>
      </c>
    </row>
    <row r="100" spans="1:11" s="95" customFormat="1" ht="62.25" customHeight="1" x14ac:dyDescent="0.25">
      <c r="A100" s="16" t="s">
        <v>220</v>
      </c>
      <c r="B100" s="97" t="s">
        <v>106</v>
      </c>
      <c r="C100" s="97" t="s">
        <v>210</v>
      </c>
      <c r="D100" s="101">
        <v>1300000</v>
      </c>
      <c r="E100" s="101"/>
      <c r="F100" s="100">
        <v>10</v>
      </c>
      <c r="G100" s="96">
        <f>G101</f>
        <v>0</v>
      </c>
      <c r="H100" s="144">
        <f>H102</f>
        <v>10</v>
      </c>
      <c r="I100" s="146">
        <f>I102</f>
        <v>10</v>
      </c>
      <c r="J100" s="155">
        <f t="shared" si="12"/>
        <v>100</v>
      </c>
      <c r="K100" s="160">
        <f t="shared" si="13"/>
        <v>0</v>
      </c>
    </row>
    <row r="101" spans="1:11" s="95" customFormat="1" ht="49.5" customHeight="1" x14ac:dyDescent="0.25">
      <c r="A101" s="16" t="s">
        <v>221</v>
      </c>
      <c r="B101" s="97" t="s">
        <v>106</v>
      </c>
      <c r="C101" s="97" t="s">
        <v>210</v>
      </c>
      <c r="D101" s="101">
        <v>1322103</v>
      </c>
      <c r="E101" s="101">
        <v>200</v>
      </c>
      <c r="F101" s="100">
        <v>10</v>
      </c>
      <c r="G101" s="96">
        <f>G102</f>
        <v>0</v>
      </c>
      <c r="H101" s="144">
        <f>H102</f>
        <v>10</v>
      </c>
      <c r="I101" s="146">
        <f>I102</f>
        <v>10</v>
      </c>
      <c r="J101" s="155">
        <f t="shared" si="12"/>
        <v>100</v>
      </c>
      <c r="K101" s="160">
        <f t="shared" si="13"/>
        <v>0</v>
      </c>
    </row>
    <row r="102" spans="1:11" s="95" customFormat="1" ht="39.75" customHeight="1" x14ac:dyDescent="0.25">
      <c r="A102" s="16" t="s">
        <v>62</v>
      </c>
      <c r="B102" s="97" t="s">
        <v>106</v>
      </c>
      <c r="C102" s="97" t="s">
        <v>210</v>
      </c>
      <c r="D102" s="101">
        <v>1322103</v>
      </c>
      <c r="E102" s="101">
        <v>240</v>
      </c>
      <c r="F102" s="100">
        <v>10</v>
      </c>
      <c r="G102" s="96">
        <f>H102-F102</f>
        <v>0</v>
      </c>
      <c r="H102" s="144">
        <v>10</v>
      </c>
      <c r="I102" s="156">
        <f>10000/1000</f>
        <v>10</v>
      </c>
      <c r="J102" s="155">
        <f t="shared" si="12"/>
        <v>100</v>
      </c>
      <c r="K102" s="160">
        <f t="shared" si="13"/>
        <v>0</v>
      </c>
    </row>
    <row r="103" spans="1:11" s="95" customFormat="1" ht="18.75" customHeight="1" x14ac:dyDescent="0.25">
      <c r="A103" s="91" t="s">
        <v>14</v>
      </c>
      <c r="B103" s="92" t="s">
        <v>107</v>
      </c>
      <c r="C103" s="92"/>
      <c r="D103" s="123"/>
      <c r="E103" s="122"/>
      <c r="F103" s="93" t="e">
        <f>F106+F109+F118</f>
        <v>#REF!</v>
      </c>
      <c r="G103" s="94" t="e">
        <f>H103-F103</f>
        <v>#REF!</v>
      </c>
      <c r="H103" s="161">
        <f>H106+H109+H118</f>
        <v>1185.5203100000001</v>
      </c>
      <c r="I103" s="151">
        <f>I106+I109+I118</f>
        <v>1077.49251</v>
      </c>
      <c r="J103" s="155">
        <f t="shared" si="12"/>
        <v>90.887730974427583</v>
      </c>
      <c r="K103" s="160">
        <f t="shared" si="13"/>
        <v>108.02780000000007</v>
      </c>
    </row>
    <row r="104" spans="1:11" s="95" customFormat="1" ht="18.75" customHeight="1" x14ac:dyDescent="0.25">
      <c r="A104" s="16" t="s">
        <v>222</v>
      </c>
      <c r="B104" s="102" t="s">
        <v>107</v>
      </c>
      <c r="C104" s="102" t="s">
        <v>104</v>
      </c>
      <c r="D104" s="101"/>
      <c r="E104" s="101"/>
      <c r="F104" s="100" t="e">
        <f>F105</f>
        <v>#REF!</v>
      </c>
      <c r="G104" s="100" t="e">
        <f t="shared" ref="G104:I105" si="18">G105</f>
        <v>#REF!</v>
      </c>
      <c r="H104" s="144">
        <f>H105</f>
        <v>74.950310000000002</v>
      </c>
      <c r="I104" s="146">
        <f>I105</f>
        <v>74.950279999999992</v>
      </c>
      <c r="J104" s="155">
        <f t="shared" si="12"/>
        <v>99.999959973481083</v>
      </c>
      <c r="K104" s="160">
        <f t="shared" si="13"/>
        <v>3.000000000952241E-5</v>
      </c>
    </row>
    <row r="105" spans="1:11" s="95" customFormat="1" ht="48.75" customHeight="1" x14ac:dyDescent="0.25">
      <c r="A105" s="16" t="s">
        <v>235</v>
      </c>
      <c r="B105" s="102" t="s">
        <v>107</v>
      </c>
      <c r="C105" s="102" t="s">
        <v>104</v>
      </c>
      <c r="D105" s="102" t="s">
        <v>223</v>
      </c>
      <c r="E105" s="101"/>
      <c r="F105" s="100" t="e">
        <f>F106</f>
        <v>#REF!</v>
      </c>
      <c r="G105" s="100" t="e">
        <f>G106</f>
        <v>#REF!</v>
      </c>
      <c r="H105" s="144">
        <f t="shared" si="18"/>
        <v>74.950310000000002</v>
      </c>
      <c r="I105" s="146">
        <f t="shared" si="18"/>
        <v>74.950279999999992</v>
      </c>
      <c r="J105" s="155">
        <f t="shared" si="12"/>
        <v>99.999959973481083</v>
      </c>
      <c r="K105" s="160">
        <f t="shared" si="13"/>
        <v>3.000000000952241E-5</v>
      </c>
    </row>
    <row r="106" spans="1:11" s="95" customFormat="1" ht="44.25" customHeight="1" x14ac:dyDescent="0.25">
      <c r="A106" s="16" t="s">
        <v>236</v>
      </c>
      <c r="B106" s="102" t="s">
        <v>107</v>
      </c>
      <c r="C106" s="102" t="s">
        <v>104</v>
      </c>
      <c r="D106" s="102" t="s">
        <v>211</v>
      </c>
      <c r="E106" s="101"/>
      <c r="F106" s="100" t="e">
        <f>#REF!+F107</f>
        <v>#REF!</v>
      </c>
      <c r="G106" s="100" t="e">
        <f>#REF!</f>
        <v>#REF!</v>
      </c>
      <c r="H106" s="144">
        <f>+H107</f>
        <v>74.950310000000002</v>
      </c>
      <c r="I106" s="146">
        <f>+I107</f>
        <v>74.950279999999992</v>
      </c>
      <c r="J106" s="155">
        <f t="shared" si="12"/>
        <v>99.999959973481083</v>
      </c>
      <c r="K106" s="160">
        <f t="shared" si="13"/>
        <v>3.000000000952241E-5</v>
      </c>
    </row>
    <row r="107" spans="1:11" s="95" customFormat="1" ht="78.75" customHeight="1" x14ac:dyDescent="0.25">
      <c r="A107" s="16" t="s">
        <v>237</v>
      </c>
      <c r="B107" s="102" t="s">
        <v>107</v>
      </c>
      <c r="C107" s="102" t="s">
        <v>104</v>
      </c>
      <c r="D107" s="102" t="s">
        <v>249</v>
      </c>
      <c r="E107" s="101">
        <v>100</v>
      </c>
      <c r="F107" s="100">
        <f>F108</f>
        <v>76</v>
      </c>
      <c r="G107" s="100">
        <f>G108</f>
        <v>-1.0496899999999982</v>
      </c>
      <c r="H107" s="144">
        <f>H108</f>
        <v>74.950310000000002</v>
      </c>
      <c r="I107" s="146">
        <f>I108</f>
        <v>74.950279999999992</v>
      </c>
      <c r="J107" s="155">
        <f t="shared" si="12"/>
        <v>99.999959973481083</v>
      </c>
      <c r="K107" s="160">
        <f t="shared" si="13"/>
        <v>3.000000000952241E-5</v>
      </c>
    </row>
    <row r="108" spans="1:11" s="95" customFormat="1" ht="78.75" customHeight="1" x14ac:dyDescent="0.25">
      <c r="A108" s="16" t="s">
        <v>238</v>
      </c>
      <c r="B108" s="102" t="s">
        <v>107</v>
      </c>
      <c r="C108" s="102" t="s">
        <v>104</v>
      </c>
      <c r="D108" s="102" t="s">
        <v>249</v>
      </c>
      <c r="E108" s="101">
        <v>110</v>
      </c>
      <c r="F108" s="100">
        <v>76</v>
      </c>
      <c r="G108" s="100">
        <f>H108-F108</f>
        <v>-1.0496899999999982</v>
      </c>
      <c r="H108" s="144">
        <f>74950.31/1000</f>
        <v>74.950310000000002</v>
      </c>
      <c r="I108" s="156">
        <f>(57565.44+17384.84)/1000</f>
        <v>74.950279999999992</v>
      </c>
      <c r="J108" s="155">
        <f t="shared" si="12"/>
        <v>99.999959973481083</v>
      </c>
      <c r="K108" s="160">
        <f t="shared" si="13"/>
        <v>3.000000000952241E-5</v>
      </c>
    </row>
    <row r="109" spans="1:11" s="95" customFormat="1" ht="15.75" x14ac:dyDescent="0.25">
      <c r="A109" s="16" t="s">
        <v>15</v>
      </c>
      <c r="B109" s="97" t="s">
        <v>107</v>
      </c>
      <c r="C109" s="97">
        <v>10</v>
      </c>
      <c r="D109" s="98"/>
      <c r="E109" s="99"/>
      <c r="F109" s="100">
        <v>815</v>
      </c>
      <c r="G109" s="96">
        <f t="shared" si="15"/>
        <v>266.00000000000023</v>
      </c>
      <c r="H109" s="162">
        <f>H110</f>
        <v>1081.0000000000002</v>
      </c>
      <c r="I109" s="152">
        <f>I110</f>
        <v>972.97722999999996</v>
      </c>
      <c r="J109" s="155">
        <f t="shared" si="12"/>
        <v>90.007144310823293</v>
      </c>
      <c r="K109" s="160">
        <f t="shared" si="13"/>
        <v>108.02277000000026</v>
      </c>
    </row>
    <row r="110" spans="1:11" s="95" customFormat="1" ht="51" customHeight="1" x14ac:dyDescent="0.25">
      <c r="A110" s="16" t="s">
        <v>84</v>
      </c>
      <c r="B110" s="97" t="s">
        <v>107</v>
      </c>
      <c r="C110" s="97">
        <v>10</v>
      </c>
      <c r="D110" s="101">
        <v>1700000</v>
      </c>
      <c r="E110" s="101"/>
      <c r="F110" s="100">
        <v>815</v>
      </c>
      <c r="G110" s="96">
        <f t="shared" si="15"/>
        <v>266.00000000000023</v>
      </c>
      <c r="H110" s="162">
        <f>H111</f>
        <v>1081.0000000000002</v>
      </c>
      <c r="I110" s="152">
        <f>I111</f>
        <v>972.97722999999996</v>
      </c>
      <c r="J110" s="155">
        <f t="shared" si="12"/>
        <v>90.007144310823293</v>
      </c>
      <c r="K110" s="160">
        <f t="shared" si="13"/>
        <v>108.02277000000026</v>
      </c>
    </row>
    <row r="111" spans="1:11" s="95" customFormat="1" ht="61.5" customHeight="1" x14ac:dyDescent="0.25">
      <c r="A111" s="16" t="s">
        <v>85</v>
      </c>
      <c r="B111" s="97" t="s">
        <v>107</v>
      </c>
      <c r="C111" s="97">
        <v>10</v>
      </c>
      <c r="D111" s="101">
        <v>1710000</v>
      </c>
      <c r="E111" s="101"/>
      <c r="F111" s="100">
        <f>F112+F115</f>
        <v>815</v>
      </c>
      <c r="G111" s="96">
        <f t="shared" si="15"/>
        <v>266.00000000000023</v>
      </c>
      <c r="H111" s="162">
        <f>H115+H112</f>
        <v>1081.0000000000002</v>
      </c>
      <c r="I111" s="152">
        <f>I115+I112</f>
        <v>972.97722999999996</v>
      </c>
      <c r="J111" s="155">
        <f t="shared" si="12"/>
        <v>90.007144310823293</v>
      </c>
      <c r="K111" s="160">
        <f t="shared" si="13"/>
        <v>108.02277000000026</v>
      </c>
    </row>
    <row r="112" spans="1:11" s="95" customFormat="1" ht="61.5" customHeight="1" x14ac:dyDescent="0.25">
      <c r="A112" s="16" t="s">
        <v>275</v>
      </c>
      <c r="B112" s="97" t="s">
        <v>107</v>
      </c>
      <c r="C112" s="97">
        <v>10</v>
      </c>
      <c r="D112" s="101">
        <v>1710059</v>
      </c>
      <c r="E112" s="101"/>
      <c r="F112" s="100">
        <f>F113</f>
        <v>0</v>
      </c>
      <c r="G112" s="96">
        <f t="shared" si="15"/>
        <v>8.6999999999999993</v>
      </c>
      <c r="H112" s="162">
        <f>H113</f>
        <v>8.6999999999999993</v>
      </c>
      <c r="I112" s="152">
        <f>I113</f>
        <v>8.68</v>
      </c>
      <c r="J112" s="155">
        <f t="shared" si="12"/>
        <v>99.77011494252875</v>
      </c>
      <c r="K112" s="160">
        <f t="shared" si="13"/>
        <v>1.9999999999999574E-2</v>
      </c>
    </row>
    <row r="113" spans="1:11" s="95" customFormat="1" ht="61.5" customHeight="1" x14ac:dyDescent="0.25">
      <c r="A113" s="16" t="s">
        <v>61</v>
      </c>
      <c r="B113" s="97" t="s">
        <v>107</v>
      </c>
      <c r="C113" s="97">
        <v>10</v>
      </c>
      <c r="D113" s="101">
        <v>1710059</v>
      </c>
      <c r="E113" s="101">
        <v>200</v>
      </c>
      <c r="F113" s="100">
        <f>F114</f>
        <v>0</v>
      </c>
      <c r="G113" s="96">
        <f t="shared" si="15"/>
        <v>8.6999999999999993</v>
      </c>
      <c r="H113" s="162">
        <f>H114</f>
        <v>8.6999999999999993</v>
      </c>
      <c r="I113" s="152">
        <f>I114</f>
        <v>8.68</v>
      </c>
      <c r="J113" s="155">
        <f t="shared" si="12"/>
        <v>99.77011494252875</v>
      </c>
      <c r="K113" s="160">
        <f t="shared" si="13"/>
        <v>1.9999999999999574E-2</v>
      </c>
    </row>
    <row r="114" spans="1:11" s="95" customFormat="1" ht="61.5" customHeight="1" x14ac:dyDescent="0.25">
      <c r="A114" s="16" t="s">
        <v>62</v>
      </c>
      <c r="B114" s="97" t="s">
        <v>107</v>
      </c>
      <c r="C114" s="97">
        <v>10</v>
      </c>
      <c r="D114" s="101">
        <v>1710059</v>
      </c>
      <c r="E114" s="101">
        <v>240</v>
      </c>
      <c r="F114" s="100">
        <v>0</v>
      </c>
      <c r="G114" s="96">
        <f t="shared" si="15"/>
        <v>8.6999999999999993</v>
      </c>
      <c r="H114" s="162">
        <v>8.6999999999999993</v>
      </c>
      <c r="I114" s="156">
        <f>8680/1000</f>
        <v>8.68</v>
      </c>
      <c r="J114" s="155">
        <f t="shared" si="12"/>
        <v>99.77011494252875</v>
      </c>
      <c r="K114" s="160">
        <f t="shared" si="13"/>
        <v>1.9999999999999574E-2</v>
      </c>
    </row>
    <row r="115" spans="1:11" s="95" customFormat="1" ht="28.5" customHeight="1" x14ac:dyDescent="0.25">
      <c r="A115" s="16" t="s">
        <v>86</v>
      </c>
      <c r="B115" s="97" t="s">
        <v>107</v>
      </c>
      <c r="C115" s="97">
        <v>10</v>
      </c>
      <c r="D115" s="101">
        <v>1712128</v>
      </c>
      <c r="E115" s="101"/>
      <c r="F115" s="100">
        <v>815</v>
      </c>
      <c r="G115" s="96">
        <f t="shared" si="15"/>
        <v>257.30000000000018</v>
      </c>
      <c r="H115" s="162">
        <f>H116</f>
        <v>1072.3000000000002</v>
      </c>
      <c r="I115" s="152">
        <f>I116</f>
        <v>964.29723000000001</v>
      </c>
      <c r="J115" s="155">
        <f t="shared" si="12"/>
        <v>89.92793341415647</v>
      </c>
      <c r="K115" s="160">
        <f t="shared" si="13"/>
        <v>108.00277000000017</v>
      </c>
    </row>
    <row r="116" spans="1:11" s="95" customFormat="1" ht="30.75" customHeight="1" x14ac:dyDescent="0.25">
      <c r="A116" s="16" t="s">
        <v>61</v>
      </c>
      <c r="B116" s="97" t="s">
        <v>107</v>
      </c>
      <c r="C116" s="97">
        <v>10</v>
      </c>
      <c r="D116" s="101">
        <v>1712128</v>
      </c>
      <c r="E116" s="101">
        <v>200</v>
      </c>
      <c r="F116" s="100">
        <v>815</v>
      </c>
      <c r="G116" s="96">
        <f t="shared" si="15"/>
        <v>257.30000000000018</v>
      </c>
      <c r="H116" s="162">
        <f>H117</f>
        <v>1072.3000000000002</v>
      </c>
      <c r="I116" s="152">
        <f>I117</f>
        <v>964.29723000000001</v>
      </c>
      <c r="J116" s="155">
        <f t="shared" si="12"/>
        <v>89.92793341415647</v>
      </c>
      <c r="K116" s="160">
        <f t="shared" si="13"/>
        <v>108.00277000000017</v>
      </c>
    </row>
    <row r="117" spans="1:11" s="95" customFormat="1" ht="44.25" customHeight="1" x14ac:dyDescent="0.25">
      <c r="A117" s="16" t="s">
        <v>62</v>
      </c>
      <c r="B117" s="97" t="s">
        <v>107</v>
      </c>
      <c r="C117" s="97">
        <v>10</v>
      </c>
      <c r="D117" s="101">
        <v>1712128</v>
      </c>
      <c r="E117" s="101">
        <v>240</v>
      </c>
      <c r="F117" s="100">
        <v>815</v>
      </c>
      <c r="G117" s="96">
        <f t="shared" si="15"/>
        <v>257.30000000000018</v>
      </c>
      <c r="H117" s="162">
        <f>1076.9-4.6</f>
        <v>1072.3000000000002</v>
      </c>
      <c r="I117" s="156">
        <f>(148207.07+211986.16+30000+77922+10000+32858+453324)/1000</f>
        <v>964.29723000000001</v>
      </c>
      <c r="J117" s="155">
        <f t="shared" si="12"/>
        <v>89.92793341415647</v>
      </c>
      <c r="K117" s="160">
        <f t="shared" si="13"/>
        <v>108.00277000000017</v>
      </c>
    </row>
    <row r="118" spans="1:11" s="95" customFormat="1" ht="44.25" customHeight="1" x14ac:dyDescent="0.25">
      <c r="A118" s="16" t="s">
        <v>224</v>
      </c>
      <c r="B118" s="97" t="s">
        <v>107</v>
      </c>
      <c r="C118" s="97" t="s">
        <v>212</v>
      </c>
      <c r="D118" s="101"/>
      <c r="E118" s="101"/>
      <c r="F118" s="100">
        <v>46.3</v>
      </c>
      <c r="G118" s="96">
        <f>G119</f>
        <v>-16.729999999999997</v>
      </c>
      <c r="H118" s="162">
        <f>H119</f>
        <v>29.57</v>
      </c>
      <c r="I118" s="152">
        <f>I119</f>
        <v>29.565000000000001</v>
      </c>
      <c r="J118" s="155">
        <f t="shared" si="12"/>
        <v>99.983090970578289</v>
      </c>
      <c r="K118" s="160">
        <f t="shared" si="13"/>
        <v>4.9999999999990052E-3</v>
      </c>
    </row>
    <row r="119" spans="1:11" s="95" customFormat="1" ht="69.75" customHeight="1" x14ac:dyDescent="0.25">
      <c r="A119" s="16" t="s">
        <v>240</v>
      </c>
      <c r="B119" s="97" t="s">
        <v>107</v>
      </c>
      <c r="C119" s="97" t="s">
        <v>212</v>
      </c>
      <c r="D119" s="101">
        <v>1200000</v>
      </c>
      <c r="E119" s="101"/>
      <c r="F119" s="100">
        <v>46.3</v>
      </c>
      <c r="G119" s="96">
        <f t="shared" ref="G119:G121" si="19">G120</f>
        <v>-16.729999999999997</v>
      </c>
      <c r="H119" s="162">
        <f>H121</f>
        <v>29.57</v>
      </c>
      <c r="I119" s="152">
        <f>I121</f>
        <v>29.565000000000001</v>
      </c>
      <c r="J119" s="155">
        <f t="shared" si="12"/>
        <v>99.983090970578289</v>
      </c>
      <c r="K119" s="160">
        <f t="shared" si="13"/>
        <v>4.9999999999990052E-3</v>
      </c>
    </row>
    <row r="120" spans="1:11" s="95" customFormat="1" ht="63.75" customHeight="1" x14ac:dyDescent="0.25">
      <c r="A120" s="16" t="s">
        <v>239</v>
      </c>
      <c r="B120" s="97" t="s">
        <v>107</v>
      </c>
      <c r="C120" s="97" t="s">
        <v>212</v>
      </c>
      <c r="D120" s="101">
        <v>1262120</v>
      </c>
      <c r="E120" s="101"/>
      <c r="F120" s="100">
        <v>46.3</v>
      </c>
      <c r="G120" s="96">
        <f t="shared" si="19"/>
        <v>-16.729999999999997</v>
      </c>
      <c r="H120" s="162">
        <f>H121</f>
        <v>29.57</v>
      </c>
      <c r="I120" s="152">
        <f>I121</f>
        <v>29.565000000000001</v>
      </c>
      <c r="J120" s="155">
        <f t="shared" si="12"/>
        <v>99.983090970578289</v>
      </c>
      <c r="K120" s="160">
        <f t="shared" si="13"/>
        <v>4.9999999999990052E-3</v>
      </c>
    </row>
    <row r="121" spans="1:11" s="95" customFormat="1" ht="44.25" customHeight="1" x14ac:dyDescent="0.25">
      <c r="A121" s="16" t="s">
        <v>61</v>
      </c>
      <c r="B121" s="97" t="s">
        <v>107</v>
      </c>
      <c r="C121" s="97" t="s">
        <v>212</v>
      </c>
      <c r="D121" s="101">
        <v>1262120</v>
      </c>
      <c r="E121" s="101">
        <v>200</v>
      </c>
      <c r="F121" s="100">
        <v>46.3</v>
      </c>
      <c r="G121" s="96">
        <f t="shared" si="19"/>
        <v>-16.729999999999997</v>
      </c>
      <c r="H121" s="162">
        <f>H122</f>
        <v>29.57</v>
      </c>
      <c r="I121" s="152">
        <f>I122</f>
        <v>29.565000000000001</v>
      </c>
      <c r="J121" s="155">
        <f t="shared" si="12"/>
        <v>99.983090970578289</v>
      </c>
      <c r="K121" s="160">
        <f t="shared" si="13"/>
        <v>4.9999999999990052E-3</v>
      </c>
    </row>
    <row r="122" spans="1:11" s="95" customFormat="1" ht="44.25" customHeight="1" x14ac:dyDescent="0.25">
      <c r="A122" s="16" t="s">
        <v>62</v>
      </c>
      <c r="B122" s="97" t="s">
        <v>107</v>
      </c>
      <c r="C122" s="97" t="s">
        <v>212</v>
      </c>
      <c r="D122" s="101">
        <f>D121</f>
        <v>1262120</v>
      </c>
      <c r="E122" s="101">
        <v>240</v>
      </c>
      <c r="F122" s="100">
        <v>46.3</v>
      </c>
      <c r="G122" s="96">
        <f>H122-F122</f>
        <v>-16.729999999999997</v>
      </c>
      <c r="H122" s="162">
        <v>29.57</v>
      </c>
      <c r="I122" s="156">
        <f>(25665+3900)/1000</f>
        <v>29.565000000000001</v>
      </c>
      <c r="J122" s="155">
        <f t="shared" si="12"/>
        <v>99.983090970578289</v>
      </c>
      <c r="K122" s="160">
        <f t="shared" si="13"/>
        <v>4.9999999999990052E-3</v>
      </c>
    </row>
    <row r="123" spans="1:11" s="95" customFormat="1" ht="15" customHeight="1" x14ac:dyDescent="0.25">
      <c r="A123" s="91" t="s">
        <v>16</v>
      </c>
      <c r="B123" s="92" t="s">
        <v>108</v>
      </c>
      <c r="C123" s="92"/>
      <c r="D123" s="123"/>
      <c r="E123" s="122"/>
      <c r="F123" s="93">
        <f>F132+F147</f>
        <v>1797</v>
      </c>
      <c r="G123" s="94">
        <f t="shared" si="15"/>
        <v>375.90999999999985</v>
      </c>
      <c r="H123" s="160">
        <f>H124+H132+H147</f>
        <v>2172.91</v>
      </c>
      <c r="I123" s="150">
        <f>I124+I132+I147</f>
        <v>1933.8406399999999</v>
      </c>
      <c r="J123" s="155">
        <f t="shared" si="12"/>
        <v>88.997732994003428</v>
      </c>
      <c r="K123" s="160">
        <f t="shared" si="13"/>
        <v>239.06935999999996</v>
      </c>
    </row>
    <row r="124" spans="1:11" s="95" customFormat="1" ht="15" customHeight="1" x14ac:dyDescent="0.25">
      <c r="A124" s="16" t="s">
        <v>225</v>
      </c>
      <c r="B124" s="97" t="s">
        <v>108</v>
      </c>
      <c r="C124" s="97" t="s">
        <v>104</v>
      </c>
      <c r="D124" s="98"/>
      <c r="E124" s="99"/>
      <c r="F124" s="100">
        <f>F125</f>
        <v>0</v>
      </c>
      <c r="G124" s="96">
        <f>H124-F124</f>
        <v>344.83</v>
      </c>
      <c r="H124" s="144">
        <f t="shared" ref="H124:I126" si="20">H125</f>
        <v>344.83</v>
      </c>
      <c r="I124" s="146">
        <f t="shared" si="20"/>
        <v>344.82900000000001</v>
      </c>
      <c r="J124" s="155">
        <f t="shared" si="12"/>
        <v>99.99971000203</v>
      </c>
      <c r="K124" s="160">
        <f t="shared" si="13"/>
        <v>9.9999999997635314E-4</v>
      </c>
    </row>
    <row r="125" spans="1:11" s="95" customFormat="1" ht="48.75" customHeight="1" x14ac:dyDescent="0.25">
      <c r="A125" s="16" t="s">
        <v>226</v>
      </c>
      <c r="B125" s="97" t="s">
        <v>108</v>
      </c>
      <c r="C125" s="97" t="s">
        <v>104</v>
      </c>
      <c r="D125" s="101">
        <v>1200000</v>
      </c>
      <c r="E125" s="99"/>
      <c r="F125" s="100">
        <f>F126</f>
        <v>0</v>
      </c>
      <c r="G125" s="96">
        <f>H125-F125</f>
        <v>344.83</v>
      </c>
      <c r="H125" s="144">
        <f t="shared" si="20"/>
        <v>344.83</v>
      </c>
      <c r="I125" s="146">
        <f t="shared" si="20"/>
        <v>344.82900000000001</v>
      </c>
      <c r="J125" s="155">
        <f t="shared" si="12"/>
        <v>99.99971000203</v>
      </c>
      <c r="K125" s="160">
        <f t="shared" si="13"/>
        <v>9.9999999997635314E-4</v>
      </c>
    </row>
    <row r="126" spans="1:11" s="95" customFormat="1" ht="15" customHeight="1" x14ac:dyDescent="0.25">
      <c r="A126" s="16" t="s">
        <v>227</v>
      </c>
      <c r="B126" s="97" t="s">
        <v>108</v>
      </c>
      <c r="C126" s="97" t="s">
        <v>104</v>
      </c>
      <c r="D126" s="101">
        <v>1220000</v>
      </c>
      <c r="E126" s="99"/>
      <c r="F126" s="100">
        <f>F127</f>
        <v>0</v>
      </c>
      <c r="G126" s="96">
        <f>H126-F126</f>
        <v>344.83</v>
      </c>
      <c r="H126" s="144">
        <f t="shared" si="20"/>
        <v>344.83</v>
      </c>
      <c r="I126" s="146">
        <f t="shared" si="20"/>
        <v>344.82900000000001</v>
      </c>
      <c r="J126" s="155">
        <f t="shared" si="12"/>
        <v>99.99971000203</v>
      </c>
      <c r="K126" s="160">
        <f t="shared" si="13"/>
        <v>9.9999999997635314E-4</v>
      </c>
    </row>
    <row r="127" spans="1:11" s="95" customFormat="1" ht="67.5" customHeight="1" x14ac:dyDescent="0.25">
      <c r="A127" s="16" t="s">
        <v>241</v>
      </c>
      <c r="B127" s="97" t="s">
        <v>108</v>
      </c>
      <c r="C127" s="97" t="s">
        <v>104</v>
      </c>
      <c r="D127" s="101">
        <v>1222108</v>
      </c>
      <c r="E127" s="99"/>
      <c r="F127" s="100">
        <f>F128+F130</f>
        <v>0</v>
      </c>
      <c r="G127" s="96">
        <f>G128</f>
        <v>152.88</v>
      </c>
      <c r="H127" s="144">
        <f>H128+H130</f>
        <v>344.83</v>
      </c>
      <c r="I127" s="146">
        <f>I128+I130</f>
        <v>344.82900000000001</v>
      </c>
      <c r="J127" s="155">
        <f t="shared" ref="J127:J185" si="21">I127/H127*100</f>
        <v>99.99971000203</v>
      </c>
      <c r="K127" s="160">
        <f t="shared" si="13"/>
        <v>9.9999999997635314E-4</v>
      </c>
    </row>
    <row r="128" spans="1:11" s="95" customFormat="1" ht="15" customHeight="1" x14ac:dyDescent="0.25">
      <c r="A128" s="16" t="s">
        <v>246</v>
      </c>
      <c r="B128" s="97" t="s">
        <v>108</v>
      </c>
      <c r="C128" s="97" t="s">
        <v>104</v>
      </c>
      <c r="D128" s="101">
        <v>1222108</v>
      </c>
      <c r="E128" s="99">
        <v>200</v>
      </c>
      <c r="F128" s="100">
        <f>F129</f>
        <v>0</v>
      </c>
      <c r="G128" s="96">
        <f>H128-F128</f>
        <v>152.88</v>
      </c>
      <c r="H128" s="144">
        <f>H129</f>
        <v>152.88</v>
      </c>
      <c r="I128" s="146">
        <f>I129</f>
        <v>152.87744000000001</v>
      </c>
      <c r="J128" s="155">
        <f t="shared" si="21"/>
        <v>99.998325484039768</v>
      </c>
      <c r="K128" s="160">
        <f t="shared" si="13"/>
        <v>2.5599999999883494E-3</v>
      </c>
    </row>
    <row r="129" spans="1:11" s="95" customFormat="1" ht="31.5" customHeight="1" x14ac:dyDescent="0.25">
      <c r="A129" s="16" t="s">
        <v>244</v>
      </c>
      <c r="B129" s="97" t="s">
        <v>108</v>
      </c>
      <c r="C129" s="97" t="s">
        <v>104</v>
      </c>
      <c r="D129" s="101">
        <v>1222108</v>
      </c>
      <c r="E129" s="99">
        <v>240</v>
      </c>
      <c r="F129" s="100">
        <f>F130</f>
        <v>0</v>
      </c>
      <c r="G129" s="96">
        <f>G130</f>
        <v>191.95</v>
      </c>
      <c r="H129" s="144">
        <v>152.88</v>
      </c>
      <c r="I129" s="156">
        <f>152877.44/1000</f>
        <v>152.87744000000001</v>
      </c>
      <c r="J129" s="155">
        <f t="shared" si="21"/>
        <v>99.998325484039768</v>
      </c>
      <c r="K129" s="160">
        <f t="shared" si="13"/>
        <v>2.5599999999883494E-3</v>
      </c>
    </row>
    <row r="130" spans="1:11" s="95" customFormat="1" ht="15" customHeight="1" x14ac:dyDescent="0.25">
      <c r="A130" s="16" t="s">
        <v>278</v>
      </c>
      <c r="B130" s="97" t="s">
        <v>108</v>
      </c>
      <c r="C130" s="97" t="s">
        <v>104</v>
      </c>
      <c r="D130" s="101">
        <v>1222108</v>
      </c>
      <c r="E130" s="99">
        <v>600</v>
      </c>
      <c r="F130" s="100">
        <f>F131</f>
        <v>0</v>
      </c>
      <c r="G130" s="96">
        <f>H130-F130</f>
        <v>191.95</v>
      </c>
      <c r="H130" s="144">
        <f>H131</f>
        <v>191.95</v>
      </c>
      <c r="I130" s="146">
        <f>I131</f>
        <v>191.95156</v>
      </c>
      <c r="J130" s="155">
        <f t="shared" si="21"/>
        <v>100.00081271164368</v>
      </c>
      <c r="K130" s="160">
        <f t="shared" si="13"/>
        <v>-1.5600000000119962E-3</v>
      </c>
    </row>
    <row r="131" spans="1:11" s="95" customFormat="1" ht="28.5" customHeight="1" x14ac:dyDescent="0.25">
      <c r="A131" s="16" t="s">
        <v>271</v>
      </c>
      <c r="B131" s="97" t="s">
        <v>108</v>
      </c>
      <c r="C131" s="97" t="s">
        <v>104</v>
      </c>
      <c r="D131" s="101">
        <v>1222108</v>
      </c>
      <c r="E131" s="99">
        <v>630</v>
      </c>
      <c r="F131" s="100">
        <v>0</v>
      </c>
      <c r="G131" s="96">
        <f>H131-F131</f>
        <v>191.95</v>
      </c>
      <c r="H131" s="144">
        <v>191.95</v>
      </c>
      <c r="I131" s="156">
        <f>191951.56/1000</f>
        <v>191.95156</v>
      </c>
      <c r="J131" s="155">
        <f t="shared" si="21"/>
        <v>100.00081271164368</v>
      </c>
      <c r="K131" s="160">
        <f t="shared" si="13"/>
        <v>-1.5600000000119962E-3</v>
      </c>
    </row>
    <row r="132" spans="1:11" s="95" customFormat="1" ht="15" customHeight="1" x14ac:dyDescent="0.25">
      <c r="A132" s="16" t="s">
        <v>43</v>
      </c>
      <c r="B132" s="97" t="s">
        <v>108</v>
      </c>
      <c r="C132" s="97" t="s">
        <v>105</v>
      </c>
      <c r="D132" s="101"/>
      <c r="E132" s="101"/>
      <c r="F132" s="100">
        <f>F133</f>
        <v>1282</v>
      </c>
      <c r="G132" s="96">
        <f t="shared" si="15"/>
        <v>-81.849999999999909</v>
      </c>
      <c r="H132" s="144">
        <f>H133</f>
        <v>1200.1500000000001</v>
      </c>
      <c r="I132" s="146">
        <f>I133</f>
        <v>1130.74946</v>
      </c>
      <c r="J132" s="155">
        <f t="shared" si="21"/>
        <v>94.217344498604334</v>
      </c>
      <c r="K132" s="160">
        <f t="shared" si="13"/>
        <v>69.400540000000092</v>
      </c>
    </row>
    <row r="133" spans="1:11" s="95" customFormat="1" ht="67.5" customHeight="1" x14ac:dyDescent="0.25">
      <c r="A133" s="16" t="s">
        <v>87</v>
      </c>
      <c r="B133" s="97" t="s">
        <v>108</v>
      </c>
      <c r="C133" s="97" t="s">
        <v>105</v>
      </c>
      <c r="D133" s="101">
        <v>1200000</v>
      </c>
      <c r="E133" s="101"/>
      <c r="F133" s="100">
        <f>F134+F138+F140+F145</f>
        <v>1282</v>
      </c>
      <c r="G133" s="96">
        <f t="shared" si="15"/>
        <v>-81.849999999999909</v>
      </c>
      <c r="H133" s="144">
        <f>H134+H138+H140+H144</f>
        <v>1200.1500000000001</v>
      </c>
      <c r="I133" s="146">
        <f>I134+I138+I140+I144</f>
        <v>1130.74946</v>
      </c>
      <c r="J133" s="155">
        <f t="shared" si="21"/>
        <v>94.217344498604334</v>
      </c>
      <c r="K133" s="160">
        <f t="shared" si="13"/>
        <v>69.400540000000092</v>
      </c>
    </row>
    <row r="134" spans="1:11" s="95" customFormat="1" ht="67.5" customHeight="1" x14ac:dyDescent="0.25">
      <c r="A134" s="16" t="s">
        <v>260</v>
      </c>
      <c r="B134" s="97" t="s">
        <v>108</v>
      </c>
      <c r="C134" s="97" t="s">
        <v>105</v>
      </c>
      <c r="D134" s="101">
        <v>1215641</v>
      </c>
      <c r="E134" s="101"/>
      <c r="F134" s="100">
        <f>F135</f>
        <v>935.6</v>
      </c>
      <c r="G134" s="96">
        <f t="shared" si="15"/>
        <v>-4.8500000000000227</v>
      </c>
      <c r="H134" s="144">
        <f>H135</f>
        <v>930.75</v>
      </c>
      <c r="I134" s="146">
        <f>I135</f>
        <v>930.68768</v>
      </c>
      <c r="J134" s="155">
        <f t="shared" si="21"/>
        <v>99.993304324469506</v>
      </c>
      <c r="K134" s="160">
        <f t="shared" si="13"/>
        <v>6.2319999999999709E-2</v>
      </c>
    </row>
    <row r="135" spans="1:11" s="95" customFormat="1" ht="67.5" customHeight="1" x14ac:dyDescent="0.25">
      <c r="A135" s="16" t="s">
        <v>242</v>
      </c>
      <c r="B135" s="97" t="s">
        <v>108</v>
      </c>
      <c r="C135" s="97" t="s">
        <v>105</v>
      </c>
      <c r="D135" s="101">
        <v>1215641</v>
      </c>
      <c r="E135" s="101">
        <v>200</v>
      </c>
      <c r="F135" s="100">
        <f>F136</f>
        <v>935.6</v>
      </c>
      <c r="G135" s="96">
        <f>H135-F135</f>
        <v>-4.8500000000000227</v>
      </c>
      <c r="H135" s="144">
        <f>H136</f>
        <v>930.75</v>
      </c>
      <c r="I135" s="146">
        <f>I136</f>
        <v>930.68768</v>
      </c>
      <c r="J135" s="155">
        <f t="shared" si="21"/>
        <v>99.993304324469506</v>
      </c>
      <c r="K135" s="160">
        <f t="shared" si="13"/>
        <v>6.2319999999999709E-2</v>
      </c>
    </row>
    <row r="136" spans="1:11" s="95" customFormat="1" ht="67.5" customHeight="1" x14ac:dyDescent="0.25">
      <c r="A136" s="16" t="s">
        <v>243</v>
      </c>
      <c r="B136" s="97" t="s">
        <v>108</v>
      </c>
      <c r="C136" s="97" t="s">
        <v>105</v>
      </c>
      <c r="D136" s="101">
        <v>1215641</v>
      </c>
      <c r="E136" s="101">
        <v>240</v>
      </c>
      <c r="F136" s="100">
        <v>935.6</v>
      </c>
      <c r="G136" s="96">
        <f>H136-F136</f>
        <v>-4.8500000000000227</v>
      </c>
      <c r="H136" s="144">
        <v>930.75</v>
      </c>
      <c r="I136" s="156">
        <f>930687.68/1000</f>
        <v>930.68768</v>
      </c>
      <c r="J136" s="155">
        <f t="shared" si="21"/>
        <v>99.993304324469506</v>
      </c>
      <c r="K136" s="160">
        <f t="shared" si="13"/>
        <v>6.2319999999999709E-2</v>
      </c>
    </row>
    <row r="137" spans="1:11" s="95" customFormat="1" ht="67.5" customHeight="1" x14ac:dyDescent="0.25">
      <c r="A137" s="16" t="s">
        <v>244</v>
      </c>
      <c r="B137" s="97" t="s">
        <v>108</v>
      </c>
      <c r="C137" s="97" t="s">
        <v>105</v>
      </c>
      <c r="D137" s="101">
        <v>1217060</v>
      </c>
      <c r="E137" s="101"/>
      <c r="F137" s="100">
        <f>F138</f>
        <v>71</v>
      </c>
      <c r="G137" s="96">
        <f>H137-F137</f>
        <v>0</v>
      </c>
      <c r="H137" s="144">
        <f>H138</f>
        <v>71</v>
      </c>
      <c r="I137" s="146">
        <f>I138</f>
        <v>71</v>
      </c>
      <c r="J137" s="155">
        <f t="shared" si="21"/>
        <v>100</v>
      </c>
      <c r="K137" s="160">
        <f t="shared" ref="K137:K200" si="22">H137-I137</f>
        <v>0</v>
      </c>
    </row>
    <row r="138" spans="1:11" s="95" customFormat="1" ht="67.5" customHeight="1" x14ac:dyDescent="0.25">
      <c r="A138" s="16" t="s">
        <v>242</v>
      </c>
      <c r="B138" s="97" t="s">
        <v>108</v>
      </c>
      <c r="C138" s="97" t="s">
        <v>105</v>
      </c>
      <c r="D138" s="101">
        <v>1217060</v>
      </c>
      <c r="E138" s="101">
        <v>200</v>
      </c>
      <c r="F138" s="100">
        <f>F139</f>
        <v>71</v>
      </c>
      <c r="G138" s="96">
        <f>H138-F138</f>
        <v>0</v>
      </c>
      <c r="H138" s="144">
        <f>H139</f>
        <v>71</v>
      </c>
      <c r="I138" s="146">
        <f>I139</f>
        <v>71</v>
      </c>
      <c r="J138" s="155">
        <f t="shared" si="21"/>
        <v>100</v>
      </c>
      <c r="K138" s="160">
        <f t="shared" si="22"/>
        <v>0</v>
      </c>
    </row>
    <row r="139" spans="1:11" s="95" customFormat="1" ht="67.5" customHeight="1" x14ac:dyDescent="0.25">
      <c r="A139" s="16" t="s">
        <v>243</v>
      </c>
      <c r="B139" s="97" t="s">
        <v>108</v>
      </c>
      <c r="C139" s="97" t="s">
        <v>105</v>
      </c>
      <c r="D139" s="101">
        <v>1217060</v>
      </c>
      <c r="E139" s="101">
        <v>240</v>
      </c>
      <c r="F139" s="100">
        <v>71</v>
      </c>
      <c r="G139" s="96">
        <f>H139-F139</f>
        <v>0</v>
      </c>
      <c r="H139" s="144">
        <v>71</v>
      </c>
      <c r="I139" s="156">
        <f>71000/1000</f>
        <v>71</v>
      </c>
      <c r="J139" s="155">
        <f t="shared" si="21"/>
        <v>100</v>
      </c>
      <c r="K139" s="160">
        <f t="shared" si="22"/>
        <v>0</v>
      </c>
    </row>
    <row r="140" spans="1:11" s="95" customFormat="1" ht="30" customHeight="1" x14ac:dyDescent="0.25">
      <c r="A140" s="16" t="s">
        <v>44</v>
      </c>
      <c r="B140" s="97" t="s">
        <v>108</v>
      </c>
      <c r="C140" s="97" t="s">
        <v>105</v>
      </c>
      <c r="D140" s="101">
        <v>1270000</v>
      </c>
      <c r="E140" s="101"/>
      <c r="F140" s="100">
        <f>F141</f>
        <v>245.4</v>
      </c>
      <c r="G140" s="96">
        <f t="shared" si="15"/>
        <v>-77</v>
      </c>
      <c r="H140" s="144">
        <f t="shared" ref="H140:I142" si="23">H141</f>
        <v>168.4</v>
      </c>
      <c r="I140" s="146">
        <f t="shared" si="23"/>
        <v>99.061779999999999</v>
      </c>
      <c r="J140" s="155">
        <f t="shared" si="21"/>
        <v>58.825285035629449</v>
      </c>
      <c r="K140" s="160">
        <f t="shared" si="22"/>
        <v>69.338220000000007</v>
      </c>
    </row>
    <row r="141" spans="1:11" s="95" customFormat="1" ht="60" customHeight="1" x14ac:dyDescent="0.25">
      <c r="A141" s="16" t="s">
        <v>88</v>
      </c>
      <c r="B141" s="97" t="s">
        <v>108</v>
      </c>
      <c r="C141" s="97" t="s">
        <v>105</v>
      </c>
      <c r="D141" s="101">
        <v>1272108</v>
      </c>
      <c r="E141" s="101"/>
      <c r="F141" s="100">
        <f>F142</f>
        <v>245.4</v>
      </c>
      <c r="G141" s="96">
        <f t="shared" si="15"/>
        <v>-77</v>
      </c>
      <c r="H141" s="144">
        <f t="shared" si="23"/>
        <v>168.4</v>
      </c>
      <c r="I141" s="146">
        <f t="shared" si="23"/>
        <v>99.061779999999999</v>
      </c>
      <c r="J141" s="155">
        <f t="shared" si="21"/>
        <v>58.825285035629449</v>
      </c>
      <c r="K141" s="160">
        <f t="shared" si="22"/>
        <v>69.338220000000007</v>
      </c>
    </row>
    <row r="142" spans="1:11" s="95" customFormat="1" ht="31.5" customHeight="1" x14ac:dyDescent="0.25">
      <c r="A142" s="16" t="s">
        <v>61</v>
      </c>
      <c r="B142" s="97" t="s">
        <v>108</v>
      </c>
      <c r="C142" s="97" t="s">
        <v>105</v>
      </c>
      <c r="D142" s="101">
        <v>1272108</v>
      </c>
      <c r="E142" s="101">
        <v>200</v>
      </c>
      <c r="F142" s="100">
        <f>F143</f>
        <v>245.4</v>
      </c>
      <c r="G142" s="96">
        <f t="shared" si="15"/>
        <v>-77</v>
      </c>
      <c r="H142" s="144">
        <f t="shared" si="23"/>
        <v>168.4</v>
      </c>
      <c r="I142" s="146">
        <f t="shared" si="23"/>
        <v>99.061779999999999</v>
      </c>
      <c r="J142" s="155">
        <f t="shared" si="21"/>
        <v>58.825285035629449</v>
      </c>
      <c r="K142" s="160">
        <f t="shared" si="22"/>
        <v>69.338220000000007</v>
      </c>
    </row>
    <row r="143" spans="1:11" s="95" customFormat="1" ht="33" customHeight="1" x14ac:dyDescent="0.25">
      <c r="A143" s="16" t="s">
        <v>62</v>
      </c>
      <c r="B143" s="97" t="s">
        <v>108</v>
      </c>
      <c r="C143" s="97" t="s">
        <v>105</v>
      </c>
      <c r="D143" s="101">
        <v>1272108</v>
      </c>
      <c r="E143" s="101">
        <v>240</v>
      </c>
      <c r="F143" s="100">
        <v>245.4</v>
      </c>
      <c r="G143" s="96">
        <f t="shared" si="15"/>
        <v>-77</v>
      </c>
      <c r="H143" s="144">
        <v>168.4</v>
      </c>
      <c r="I143" s="156">
        <f>(79061.78+20000)/1000</f>
        <v>99.061779999999999</v>
      </c>
      <c r="J143" s="155">
        <f t="shared" si="21"/>
        <v>58.825285035629449</v>
      </c>
      <c r="K143" s="160">
        <f t="shared" si="22"/>
        <v>69.338220000000007</v>
      </c>
    </row>
    <row r="144" spans="1:11" s="95" customFormat="1" ht="63.75" customHeight="1" x14ac:dyDescent="0.25">
      <c r="A144" s="16" t="s">
        <v>260</v>
      </c>
      <c r="B144" s="97" t="s">
        <v>108</v>
      </c>
      <c r="C144" s="97" t="s">
        <v>105</v>
      </c>
      <c r="D144" s="101">
        <v>1275641</v>
      </c>
      <c r="E144" s="101"/>
      <c r="F144" s="100">
        <f>F145</f>
        <v>30</v>
      </c>
      <c r="G144" s="96">
        <f t="shared" si="15"/>
        <v>0</v>
      </c>
      <c r="H144" s="144">
        <f>H145</f>
        <v>30</v>
      </c>
      <c r="I144" s="146">
        <f>I145</f>
        <v>30</v>
      </c>
      <c r="J144" s="155">
        <f t="shared" si="21"/>
        <v>100</v>
      </c>
      <c r="K144" s="160">
        <f t="shared" si="22"/>
        <v>0</v>
      </c>
    </row>
    <row r="145" spans="1:11" s="95" customFormat="1" ht="47.25" customHeight="1" x14ac:dyDescent="0.25">
      <c r="A145" s="16" t="s">
        <v>61</v>
      </c>
      <c r="B145" s="97" t="s">
        <v>108</v>
      </c>
      <c r="C145" s="97" t="s">
        <v>105</v>
      </c>
      <c r="D145" s="101">
        <v>1275641</v>
      </c>
      <c r="E145" s="101">
        <v>200</v>
      </c>
      <c r="F145" s="100">
        <f>F146</f>
        <v>30</v>
      </c>
      <c r="G145" s="96">
        <f>G146</f>
        <v>0</v>
      </c>
      <c r="H145" s="144">
        <f>H146</f>
        <v>30</v>
      </c>
      <c r="I145" s="146">
        <f>I146</f>
        <v>30</v>
      </c>
      <c r="J145" s="155">
        <f t="shared" si="21"/>
        <v>100</v>
      </c>
      <c r="K145" s="160">
        <f t="shared" si="22"/>
        <v>0</v>
      </c>
    </row>
    <row r="146" spans="1:11" s="95" customFormat="1" ht="33" customHeight="1" x14ac:dyDescent="0.25">
      <c r="A146" s="16" t="s">
        <v>62</v>
      </c>
      <c r="B146" s="97" t="s">
        <v>108</v>
      </c>
      <c r="C146" s="97" t="s">
        <v>105</v>
      </c>
      <c r="D146" s="101">
        <v>1275641</v>
      </c>
      <c r="E146" s="101">
        <v>240</v>
      </c>
      <c r="F146" s="100">
        <v>30</v>
      </c>
      <c r="G146" s="96">
        <f>H146-F146</f>
        <v>0</v>
      </c>
      <c r="H146" s="144">
        <v>30</v>
      </c>
      <c r="I146" s="156">
        <f>30000/1000</f>
        <v>30</v>
      </c>
      <c r="J146" s="155">
        <f t="shared" si="21"/>
        <v>100</v>
      </c>
      <c r="K146" s="160">
        <f t="shared" si="22"/>
        <v>0</v>
      </c>
    </row>
    <row r="147" spans="1:11" s="95" customFormat="1" ht="18" customHeight="1" x14ac:dyDescent="0.25">
      <c r="A147" s="16" t="s">
        <v>17</v>
      </c>
      <c r="B147" s="97" t="s">
        <v>108</v>
      </c>
      <c r="C147" s="97" t="s">
        <v>106</v>
      </c>
      <c r="D147" s="101"/>
      <c r="E147" s="101"/>
      <c r="F147" s="100">
        <f>F158+F154+F152</f>
        <v>515</v>
      </c>
      <c r="G147" s="96">
        <f t="shared" si="15"/>
        <v>112.93000000000006</v>
      </c>
      <c r="H147" s="144">
        <f>H158+H154+H152</f>
        <v>627.93000000000006</v>
      </c>
      <c r="I147" s="146">
        <f>I158+I154+I152</f>
        <v>458.26218</v>
      </c>
      <c r="J147" s="155">
        <f t="shared" si="21"/>
        <v>72.979819406621743</v>
      </c>
      <c r="K147" s="160">
        <f t="shared" si="22"/>
        <v>169.66782000000006</v>
      </c>
    </row>
    <row r="148" spans="1:11" s="95" customFormat="1" ht="48.75" customHeight="1" x14ac:dyDescent="0.25">
      <c r="A148" s="16" t="s">
        <v>253</v>
      </c>
      <c r="B148" s="97" t="s">
        <v>108</v>
      </c>
      <c r="C148" s="97" t="s">
        <v>106</v>
      </c>
      <c r="D148" s="102" t="s">
        <v>229</v>
      </c>
      <c r="E148" s="101"/>
      <c r="F148" s="100">
        <v>331</v>
      </c>
      <c r="G148" s="96">
        <f>H148-F148</f>
        <v>-34.370000000000005</v>
      </c>
      <c r="H148" s="144">
        <f>H149</f>
        <v>296.63</v>
      </c>
      <c r="I148" s="146">
        <f>I149</f>
        <v>296.63318000000004</v>
      </c>
      <c r="J148" s="155">
        <f t="shared" si="21"/>
        <v>100.00107204261201</v>
      </c>
      <c r="K148" s="160">
        <f t="shared" si="22"/>
        <v>-3.1800000000430373E-3</v>
      </c>
    </row>
    <row r="149" spans="1:11" s="95" customFormat="1" ht="28.5" customHeight="1" x14ac:dyDescent="0.25">
      <c r="A149" s="16" t="s">
        <v>230</v>
      </c>
      <c r="B149" s="97" t="s">
        <v>108</v>
      </c>
      <c r="C149" s="97" t="s">
        <v>106</v>
      </c>
      <c r="D149" s="102" t="s">
        <v>228</v>
      </c>
      <c r="E149" s="101"/>
      <c r="F149" s="100">
        <v>331</v>
      </c>
      <c r="G149" s="96">
        <f>H149-F149</f>
        <v>-34.370000000000005</v>
      </c>
      <c r="H149" s="144">
        <f>H150</f>
        <v>296.63</v>
      </c>
      <c r="I149" s="146">
        <f>I150</f>
        <v>296.63318000000004</v>
      </c>
      <c r="J149" s="155">
        <f t="shared" si="21"/>
        <v>100.00107204261201</v>
      </c>
      <c r="K149" s="160">
        <f t="shared" si="22"/>
        <v>-3.1800000000430373E-3</v>
      </c>
    </row>
    <row r="150" spans="1:11" s="95" customFormat="1" ht="39.75" customHeight="1" x14ac:dyDescent="0.25">
      <c r="A150" s="16" t="s">
        <v>231</v>
      </c>
      <c r="B150" s="97" t="s">
        <v>108</v>
      </c>
      <c r="C150" s="97" t="s">
        <v>106</v>
      </c>
      <c r="D150" s="102" t="s">
        <v>213</v>
      </c>
      <c r="E150" s="101"/>
      <c r="F150" s="100">
        <v>331</v>
      </c>
      <c r="G150" s="96">
        <f>H150-F150</f>
        <v>-34.370000000000005</v>
      </c>
      <c r="H150" s="144">
        <f>H151+H153</f>
        <v>296.63</v>
      </c>
      <c r="I150" s="146">
        <f>I151+I153</f>
        <v>296.63318000000004</v>
      </c>
      <c r="J150" s="155">
        <f t="shared" si="21"/>
        <v>100.00107204261201</v>
      </c>
      <c r="K150" s="160">
        <f t="shared" si="22"/>
        <v>-3.1800000000430373E-3</v>
      </c>
    </row>
    <row r="151" spans="1:11" s="95" customFormat="1" ht="81" customHeight="1" x14ac:dyDescent="0.25">
      <c r="A151" s="16" t="s">
        <v>57</v>
      </c>
      <c r="B151" s="97" t="s">
        <v>108</v>
      </c>
      <c r="C151" s="97" t="s">
        <v>106</v>
      </c>
      <c r="D151" s="102" t="s">
        <v>213</v>
      </c>
      <c r="E151" s="101">
        <v>100</v>
      </c>
      <c r="F151" s="100">
        <v>317.10000000000002</v>
      </c>
      <c r="G151" s="96">
        <f>G152</f>
        <v>-34.370000000000005</v>
      </c>
      <c r="H151" s="144">
        <f>H152</f>
        <v>282.73</v>
      </c>
      <c r="I151" s="146">
        <f>I152</f>
        <v>282.73018000000002</v>
      </c>
      <c r="J151" s="155">
        <f t="shared" si="21"/>
        <v>100.00006366498073</v>
      </c>
      <c r="K151" s="160">
        <f t="shared" si="22"/>
        <v>-1.8000000000029104E-4</v>
      </c>
    </row>
    <row r="152" spans="1:11" s="95" customFormat="1" ht="34.5" customHeight="1" x14ac:dyDescent="0.25">
      <c r="A152" s="16" t="s">
        <v>245</v>
      </c>
      <c r="B152" s="97" t="s">
        <v>108</v>
      </c>
      <c r="C152" s="97" t="s">
        <v>106</v>
      </c>
      <c r="D152" s="102" t="s">
        <v>213</v>
      </c>
      <c r="E152" s="101">
        <v>110</v>
      </c>
      <c r="F152" s="100">
        <v>317.10000000000002</v>
      </c>
      <c r="G152" s="96">
        <f>H152-F152</f>
        <v>-34.370000000000005</v>
      </c>
      <c r="H152" s="144">
        <v>282.73</v>
      </c>
      <c r="I152" s="156">
        <f>(60632.61+222097.57)/1000</f>
        <v>282.73018000000002</v>
      </c>
      <c r="J152" s="155">
        <f t="shared" si="21"/>
        <v>100.00006366498073</v>
      </c>
      <c r="K152" s="160">
        <f t="shared" si="22"/>
        <v>-1.8000000000029104E-4</v>
      </c>
    </row>
    <row r="153" spans="1:11" s="95" customFormat="1" ht="48.75" customHeight="1" x14ac:dyDescent="0.25">
      <c r="A153" s="16" t="s">
        <v>234</v>
      </c>
      <c r="B153" s="97" t="s">
        <v>108</v>
      </c>
      <c r="C153" s="97" t="s">
        <v>106</v>
      </c>
      <c r="D153" s="102" t="s">
        <v>213</v>
      </c>
      <c r="E153" s="101">
        <v>200</v>
      </c>
      <c r="F153" s="100">
        <v>13.9</v>
      </c>
      <c r="G153" s="96">
        <f>G154</f>
        <v>0</v>
      </c>
      <c r="H153" s="144">
        <f>H154</f>
        <v>13.9</v>
      </c>
      <c r="I153" s="146">
        <f>I154</f>
        <v>13.903</v>
      </c>
      <c r="J153" s="155">
        <f t="shared" si="21"/>
        <v>100.02158273381295</v>
      </c>
      <c r="K153" s="160">
        <f t="shared" si="22"/>
        <v>-3.0000000000001137E-3</v>
      </c>
    </row>
    <row r="154" spans="1:11" s="95" customFormat="1" ht="48.75" customHeight="1" x14ac:dyDescent="0.25">
      <c r="A154" s="16" t="s">
        <v>62</v>
      </c>
      <c r="B154" s="97" t="s">
        <v>108</v>
      </c>
      <c r="C154" s="97" t="s">
        <v>106</v>
      </c>
      <c r="D154" s="102" t="s">
        <v>213</v>
      </c>
      <c r="E154" s="101">
        <v>240</v>
      </c>
      <c r="F154" s="100">
        <v>13.9</v>
      </c>
      <c r="G154" s="96">
        <f>H154-F154</f>
        <v>0</v>
      </c>
      <c r="H154" s="144">
        <v>13.9</v>
      </c>
      <c r="I154" s="156">
        <f>13903/1000</f>
        <v>13.903</v>
      </c>
      <c r="J154" s="155">
        <f t="shared" si="21"/>
        <v>100.02158273381295</v>
      </c>
      <c r="K154" s="160">
        <f t="shared" si="22"/>
        <v>-3.0000000000001137E-3</v>
      </c>
    </row>
    <row r="155" spans="1:11" s="95" customFormat="1" ht="48.75" customHeight="1" x14ac:dyDescent="0.25">
      <c r="A155" s="16" t="s">
        <v>232</v>
      </c>
      <c r="B155" s="97" t="s">
        <v>108</v>
      </c>
      <c r="C155" s="97" t="s">
        <v>106</v>
      </c>
      <c r="D155" s="102" t="s">
        <v>215</v>
      </c>
      <c r="E155" s="101"/>
      <c r="F155" s="100">
        <v>184.1</v>
      </c>
      <c r="G155" s="96">
        <f t="shared" ref="G155:I156" si="24">G156</f>
        <v>147.30000000000001</v>
      </c>
      <c r="H155" s="144">
        <f t="shared" si="24"/>
        <v>331.3</v>
      </c>
      <c r="I155" s="146">
        <f t="shared" si="24"/>
        <v>161.62899999999999</v>
      </c>
      <c r="J155" s="155">
        <f t="shared" si="21"/>
        <v>48.786296408089342</v>
      </c>
      <c r="K155" s="160">
        <f t="shared" si="22"/>
        <v>169.67100000000002</v>
      </c>
    </row>
    <row r="156" spans="1:11" s="95" customFormat="1" ht="48.75" customHeight="1" x14ac:dyDescent="0.25">
      <c r="A156" s="16" t="s">
        <v>233</v>
      </c>
      <c r="B156" s="97" t="s">
        <v>108</v>
      </c>
      <c r="C156" s="97" t="s">
        <v>106</v>
      </c>
      <c r="D156" s="102" t="s">
        <v>214</v>
      </c>
      <c r="E156" s="101"/>
      <c r="F156" s="100">
        <f>F157</f>
        <v>184</v>
      </c>
      <c r="G156" s="96">
        <f t="shared" si="24"/>
        <v>147.30000000000001</v>
      </c>
      <c r="H156" s="144">
        <f>H157</f>
        <v>331.3</v>
      </c>
      <c r="I156" s="146">
        <f>I157</f>
        <v>161.62899999999999</v>
      </c>
      <c r="J156" s="155">
        <f t="shared" si="21"/>
        <v>48.786296408089342</v>
      </c>
      <c r="K156" s="160">
        <f t="shared" si="22"/>
        <v>169.67100000000002</v>
      </c>
    </row>
    <row r="157" spans="1:11" s="95" customFormat="1" ht="48.75" customHeight="1" x14ac:dyDescent="0.25">
      <c r="A157" s="16" t="s">
        <v>61</v>
      </c>
      <c r="B157" s="97" t="s">
        <v>108</v>
      </c>
      <c r="C157" s="97" t="s">
        <v>106</v>
      </c>
      <c r="D157" s="102" t="s">
        <v>214</v>
      </c>
      <c r="E157" s="101">
        <v>200</v>
      </c>
      <c r="F157" s="100">
        <f>F158</f>
        <v>184</v>
      </c>
      <c r="G157" s="96">
        <f>H157-F157</f>
        <v>147.30000000000001</v>
      </c>
      <c r="H157" s="144">
        <f>H158</f>
        <v>331.3</v>
      </c>
      <c r="I157" s="146">
        <f>I158</f>
        <v>161.62899999999999</v>
      </c>
      <c r="J157" s="155">
        <f t="shared" si="21"/>
        <v>48.786296408089342</v>
      </c>
      <c r="K157" s="160">
        <f t="shared" si="22"/>
        <v>169.67100000000002</v>
      </c>
    </row>
    <row r="158" spans="1:11" s="95" customFormat="1" ht="48.75" customHeight="1" x14ac:dyDescent="0.25">
      <c r="A158" s="16" t="s">
        <v>218</v>
      </c>
      <c r="B158" s="97" t="s">
        <v>108</v>
      </c>
      <c r="C158" s="97" t="s">
        <v>106</v>
      </c>
      <c r="D158" s="102" t="s">
        <v>214</v>
      </c>
      <c r="E158" s="101">
        <v>240</v>
      </c>
      <c r="F158" s="100">
        <v>184</v>
      </c>
      <c r="G158" s="96">
        <f>H158-F158</f>
        <v>147.30000000000001</v>
      </c>
      <c r="H158" s="144">
        <v>331.3</v>
      </c>
      <c r="I158" s="156">
        <f>(12730+2040+121859+25000)/1000</f>
        <v>161.62899999999999</v>
      </c>
      <c r="J158" s="155">
        <f t="shared" si="21"/>
        <v>48.786296408089342</v>
      </c>
      <c r="K158" s="160">
        <f t="shared" si="22"/>
        <v>169.67100000000002</v>
      </c>
    </row>
    <row r="159" spans="1:11" s="95" customFormat="1" ht="18" customHeight="1" x14ac:dyDescent="0.25">
      <c r="A159" s="91" t="s">
        <v>18</v>
      </c>
      <c r="B159" s="92" t="s">
        <v>109</v>
      </c>
      <c r="C159" s="92"/>
      <c r="D159" s="123"/>
      <c r="E159" s="122"/>
      <c r="F159" s="93">
        <f>F160</f>
        <v>2496.6</v>
      </c>
      <c r="G159" s="94">
        <f t="shared" si="15"/>
        <v>-228.92999999999984</v>
      </c>
      <c r="H159" s="161">
        <f>H160</f>
        <v>2267.67</v>
      </c>
      <c r="I159" s="151">
        <f>I160</f>
        <v>2201.0906799999998</v>
      </c>
      <c r="J159" s="155">
        <f t="shared" si="21"/>
        <v>97.063976680910343</v>
      </c>
      <c r="K159" s="160">
        <f t="shared" si="22"/>
        <v>66.57932000000028</v>
      </c>
    </row>
    <row r="160" spans="1:11" s="95" customFormat="1" ht="14.25" customHeight="1" x14ac:dyDescent="0.25">
      <c r="A160" s="16" t="s">
        <v>19</v>
      </c>
      <c r="B160" s="97" t="s">
        <v>109</v>
      </c>
      <c r="C160" s="97" t="s">
        <v>104</v>
      </c>
      <c r="D160" s="101"/>
      <c r="E160" s="99"/>
      <c r="F160" s="100">
        <f>F161</f>
        <v>2496.6</v>
      </c>
      <c r="G160" s="96">
        <f t="shared" si="15"/>
        <v>-228.92999999999984</v>
      </c>
      <c r="H160" s="162">
        <f>H161</f>
        <v>2267.67</v>
      </c>
      <c r="I160" s="152">
        <f>I161</f>
        <v>2201.0906799999998</v>
      </c>
      <c r="J160" s="155">
        <f t="shared" si="21"/>
        <v>97.063976680910343</v>
      </c>
      <c r="K160" s="160">
        <f t="shared" si="22"/>
        <v>66.57932000000028</v>
      </c>
    </row>
    <row r="161" spans="1:11" s="95" customFormat="1" ht="62.25" customHeight="1" x14ac:dyDescent="0.25">
      <c r="A161" s="16" t="s">
        <v>92</v>
      </c>
      <c r="B161" s="97" t="s">
        <v>109</v>
      </c>
      <c r="C161" s="97" t="s">
        <v>104</v>
      </c>
      <c r="D161" s="102" t="s">
        <v>29</v>
      </c>
      <c r="E161" s="101"/>
      <c r="F161" s="100">
        <f>F162+F169+F178</f>
        <v>2496.6</v>
      </c>
      <c r="G161" s="96">
        <f t="shared" si="15"/>
        <v>-228.92999999999984</v>
      </c>
      <c r="H161" s="162">
        <f>H162+H169+H178</f>
        <v>2267.67</v>
      </c>
      <c r="I161" s="152">
        <f>I162+I169+I178</f>
        <v>2201.0906799999998</v>
      </c>
      <c r="J161" s="155">
        <f t="shared" si="21"/>
        <v>97.063976680910343</v>
      </c>
      <c r="K161" s="160">
        <f t="shared" si="22"/>
        <v>66.57932000000028</v>
      </c>
    </row>
    <row r="162" spans="1:11" s="95" customFormat="1" ht="55.7" customHeight="1" x14ac:dyDescent="0.25">
      <c r="A162" s="16" t="s">
        <v>93</v>
      </c>
      <c r="B162" s="97" t="s">
        <v>109</v>
      </c>
      <c r="C162" s="97" t="s">
        <v>104</v>
      </c>
      <c r="D162" s="102" t="s">
        <v>30</v>
      </c>
      <c r="E162" s="101"/>
      <c r="F162" s="100">
        <f>F163+F166</f>
        <v>221</v>
      </c>
      <c r="G162" s="96">
        <f t="shared" si="15"/>
        <v>4.0000000000020464E-2</v>
      </c>
      <c r="H162" s="162">
        <f>H163+H166</f>
        <v>221.04000000000002</v>
      </c>
      <c r="I162" s="152">
        <f>I163+I166</f>
        <v>221</v>
      </c>
      <c r="J162" s="155">
        <f t="shared" si="21"/>
        <v>99.981903727832062</v>
      </c>
      <c r="K162" s="160">
        <f t="shared" si="22"/>
        <v>4.0000000000020464E-2</v>
      </c>
    </row>
    <row r="163" spans="1:11" s="95" customFormat="1" ht="65.25" customHeight="1" x14ac:dyDescent="0.25">
      <c r="A163" s="16" t="s">
        <v>47</v>
      </c>
      <c r="B163" s="97" t="s">
        <v>109</v>
      </c>
      <c r="C163" s="97" t="s">
        <v>104</v>
      </c>
      <c r="D163" s="102" t="s">
        <v>37</v>
      </c>
      <c r="E163" s="101"/>
      <c r="F163" s="100">
        <f>F164</f>
        <v>187.8</v>
      </c>
      <c r="G163" s="96">
        <f t="shared" si="15"/>
        <v>3.9999999999992042E-2</v>
      </c>
      <c r="H163" s="162">
        <f>H164</f>
        <v>187.84</v>
      </c>
      <c r="I163" s="152">
        <f>I164</f>
        <v>187.84</v>
      </c>
      <c r="J163" s="155">
        <f t="shared" si="21"/>
        <v>100</v>
      </c>
      <c r="K163" s="160">
        <f t="shared" si="22"/>
        <v>0</v>
      </c>
    </row>
    <row r="164" spans="1:11" s="95" customFormat="1" ht="42" customHeight="1" x14ac:dyDescent="0.25">
      <c r="A164" s="16" t="s">
        <v>61</v>
      </c>
      <c r="B164" s="97" t="s">
        <v>109</v>
      </c>
      <c r="C164" s="97" t="s">
        <v>104</v>
      </c>
      <c r="D164" s="102" t="s">
        <v>37</v>
      </c>
      <c r="E164" s="101">
        <v>200</v>
      </c>
      <c r="F164" s="100">
        <f>F165</f>
        <v>187.8</v>
      </c>
      <c r="G164" s="96">
        <f t="shared" si="15"/>
        <v>3.9999999999992042E-2</v>
      </c>
      <c r="H164" s="162">
        <f>H165</f>
        <v>187.84</v>
      </c>
      <c r="I164" s="152">
        <f>I165</f>
        <v>187.84</v>
      </c>
      <c r="J164" s="155">
        <f t="shared" si="21"/>
        <v>100</v>
      </c>
      <c r="K164" s="160">
        <f t="shared" si="22"/>
        <v>0</v>
      </c>
    </row>
    <row r="165" spans="1:11" s="95" customFormat="1" ht="36.75" customHeight="1" x14ac:dyDescent="0.25">
      <c r="A165" s="16" t="s">
        <v>62</v>
      </c>
      <c r="B165" s="97" t="s">
        <v>109</v>
      </c>
      <c r="C165" s="97" t="s">
        <v>104</v>
      </c>
      <c r="D165" s="102" t="s">
        <v>37</v>
      </c>
      <c r="E165" s="101">
        <v>240</v>
      </c>
      <c r="F165" s="100">
        <v>187.8</v>
      </c>
      <c r="G165" s="96">
        <f t="shared" si="15"/>
        <v>3.9999999999992042E-2</v>
      </c>
      <c r="H165" s="162">
        <v>187.84</v>
      </c>
      <c r="I165" s="156">
        <f>(84000+6000+94900+2940)/1000</f>
        <v>187.84</v>
      </c>
      <c r="J165" s="155">
        <f t="shared" si="21"/>
        <v>100</v>
      </c>
      <c r="K165" s="160">
        <f t="shared" si="22"/>
        <v>0</v>
      </c>
    </row>
    <row r="166" spans="1:11" s="95" customFormat="1" ht="36.75" customHeight="1" x14ac:dyDescent="0.25">
      <c r="A166" s="16" t="s">
        <v>46</v>
      </c>
      <c r="B166" s="97" t="s">
        <v>109</v>
      </c>
      <c r="C166" s="97" t="s">
        <v>104</v>
      </c>
      <c r="D166" s="102" t="s">
        <v>38</v>
      </c>
      <c r="E166" s="101"/>
      <c r="F166" s="100">
        <f>F167</f>
        <v>33.200000000000003</v>
      </c>
      <c r="G166" s="96">
        <f t="shared" si="15"/>
        <v>0</v>
      </c>
      <c r="H166" s="162">
        <f>H167</f>
        <v>33.200000000000003</v>
      </c>
      <c r="I166" s="152">
        <f>I167</f>
        <v>33.159999999999997</v>
      </c>
      <c r="J166" s="155">
        <f t="shared" si="21"/>
        <v>99.879518072289144</v>
      </c>
      <c r="K166" s="160">
        <f t="shared" si="22"/>
        <v>4.0000000000006253E-2</v>
      </c>
    </row>
    <row r="167" spans="1:11" s="95" customFormat="1" ht="36.75" customHeight="1" x14ac:dyDescent="0.25">
      <c r="A167" s="16" t="s">
        <v>61</v>
      </c>
      <c r="B167" s="97" t="s">
        <v>109</v>
      </c>
      <c r="C167" s="97" t="s">
        <v>104</v>
      </c>
      <c r="D167" s="102" t="s">
        <v>38</v>
      </c>
      <c r="E167" s="101">
        <v>200</v>
      </c>
      <c r="F167" s="100">
        <f>F168</f>
        <v>33.200000000000003</v>
      </c>
      <c r="G167" s="96">
        <f t="shared" si="15"/>
        <v>0</v>
      </c>
      <c r="H167" s="162">
        <f>H168</f>
        <v>33.200000000000003</v>
      </c>
      <c r="I167" s="152">
        <f>I168</f>
        <v>33.159999999999997</v>
      </c>
      <c r="J167" s="155">
        <f t="shared" si="21"/>
        <v>99.879518072289144</v>
      </c>
      <c r="K167" s="160">
        <f t="shared" si="22"/>
        <v>4.0000000000006253E-2</v>
      </c>
    </row>
    <row r="168" spans="1:11" s="95" customFormat="1" ht="36.75" customHeight="1" x14ac:dyDescent="0.25">
      <c r="A168" s="16" t="s">
        <v>62</v>
      </c>
      <c r="B168" s="97" t="s">
        <v>109</v>
      </c>
      <c r="C168" s="97" t="s">
        <v>104</v>
      </c>
      <c r="D168" s="102" t="s">
        <v>38</v>
      </c>
      <c r="E168" s="101">
        <v>240</v>
      </c>
      <c r="F168" s="100">
        <v>33.200000000000003</v>
      </c>
      <c r="G168" s="96">
        <f t="shared" si="15"/>
        <v>0</v>
      </c>
      <c r="H168" s="162">
        <v>33.200000000000003</v>
      </c>
      <c r="I168" s="156">
        <f>(19100+14060)/1000</f>
        <v>33.159999999999997</v>
      </c>
      <c r="J168" s="155">
        <f t="shared" si="21"/>
        <v>99.879518072289144</v>
      </c>
      <c r="K168" s="160">
        <f t="shared" si="22"/>
        <v>4.0000000000006253E-2</v>
      </c>
    </row>
    <row r="169" spans="1:11" s="95" customFormat="1" ht="21" customHeight="1" x14ac:dyDescent="0.25">
      <c r="A169" s="16" t="s">
        <v>94</v>
      </c>
      <c r="B169" s="97" t="s">
        <v>109</v>
      </c>
      <c r="C169" s="97" t="s">
        <v>104</v>
      </c>
      <c r="D169" s="102" t="s">
        <v>31</v>
      </c>
      <c r="E169" s="101"/>
      <c r="F169" s="100">
        <f>F170+F175</f>
        <v>1647.7</v>
      </c>
      <c r="G169" s="96">
        <f>H169-F169</f>
        <v>-166.60000000000014</v>
      </c>
      <c r="H169" s="162">
        <f>H170+H175</f>
        <v>1481.1</v>
      </c>
      <c r="I169" s="152">
        <f>I170+I175</f>
        <v>1430.5472399999999</v>
      </c>
      <c r="J169" s="155">
        <f t="shared" si="21"/>
        <v>96.586809803524403</v>
      </c>
      <c r="K169" s="160">
        <f t="shared" si="22"/>
        <v>50.552760000000035</v>
      </c>
    </row>
    <row r="170" spans="1:11" s="95" customFormat="1" ht="71.25" customHeight="1" x14ac:dyDescent="0.25">
      <c r="A170" s="16" t="s">
        <v>48</v>
      </c>
      <c r="B170" s="102" t="s">
        <v>109</v>
      </c>
      <c r="C170" s="102" t="s">
        <v>104</v>
      </c>
      <c r="D170" s="102" t="s">
        <v>32</v>
      </c>
      <c r="E170" s="101"/>
      <c r="F170" s="100">
        <f>F171+F173</f>
        <v>1636.7</v>
      </c>
      <c r="G170" s="96">
        <f t="shared" si="15"/>
        <v>-166.60000000000014</v>
      </c>
      <c r="H170" s="162">
        <f>H171+H173</f>
        <v>1470.1</v>
      </c>
      <c r="I170" s="152">
        <f>I171+I173</f>
        <v>1419.5472399999999</v>
      </c>
      <c r="J170" s="155">
        <f t="shared" si="21"/>
        <v>96.561270661859737</v>
      </c>
      <c r="K170" s="160">
        <f t="shared" si="22"/>
        <v>50.552760000000035</v>
      </c>
    </row>
    <row r="171" spans="1:11" s="95" customFormat="1" ht="87.95" customHeight="1" x14ac:dyDescent="0.25">
      <c r="A171" s="16" t="s">
        <v>57</v>
      </c>
      <c r="B171" s="97" t="s">
        <v>109</v>
      </c>
      <c r="C171" s="97" t="s">
        <v>104</v>
      </c>
      <c r="D171" s="102" t="s">
        <v>32</v>
      </c>
      <c r="E171" s="101">
        <v>100</v>
      </c>
      <c r="F171" s="100">
        <f>F172</f>
        <v>1248.5</v>
      </c>
      <c r="G171" s="96">
        <f t="shared" si="15"/>
        <v>-171.90000000000009</v>
      </c>
      <c r="H171" s="162">
        <f>H172</f>
        <v>1076.5999999999999</v>
      </c>
      <c r="I171" s="152">
        <f>I172</f>
        <v>1057.2766799999999</v>
      </c>
      <c r="J171" s="155">
        <f t="shared" si="21"/>
        <v>98.205153260263799</v>
      </c>
      <c r="K171" s="160">
        <f t="shared" si="22"/>
        <v>19.323319999999967</v>
      </c>
    </row>
    <row r="172" spans="1:11" s="95" customFormat="1" ht="31.5" customHeight="1" x14ac:dyDescent="0.25">
      <c r="A172" s="16" t="s">
        <v>80</v>
      </c>
      <c r="B172" s="97" t="s">
        <v>109</v>
      </c>
      <c r="C172" s="97" t="s">
        <v>104</v>
      </c>
      <c r="D172" s="102" t="s">
        <v>32</v>
      </c>
      <c r="E172" s="101">
        <v>110</v>
      </c>
      <c r="F172" s="100">
        <v>1248.5</v>
      </c>
      <c r="G172" s="96">
        <f t="shared" si="15"/>
        <v>-171.90000000000009</v>
      </c>
      <c r="H172" s="162">
        <v>1076.5999999999999</v>
      </c>
      <c r="I172" s="156">
        <f>(829602.22+210017.56+17656.9)/1000</f>
        <v>1057.2766799999999</v>
      </c>
      <c r="J172" s="155">
        <f t="shared" si="21"/>
        <v>98.205153260263799</v>
      </c>
      <c r="K172" s="160">
        <f t="shared" si="22"/>
        <v>19.323319999999967</v>
      </c>
    </row>
    <row r="173" spans="1:11" s="95" customFormat="1" ht="33.75" customHeight="1" x14ac:dyDescent="0.25">
      <c r="A173" s="16" t="s">
        <v>61</v>
      </c>
      <c r="B173" s="97" t="s">
        <v>109</v>
      </c>
      <c r="C173" s="102" t="s">
        <v>104</v>
      </c>
      <c r="D173" s="102" t="s">
        <v>32</v>
      </c>
      <c r="E173" s="101">
        <v>200</v>
      </c>
      <c r="F173" s="100">
        <f>F174</f>
        <v>388.2</v>
      </c>
      <c r="G173" s="96">
        <f t="shared" si="15"/>
        <v>5.3000000000000114</v>
      </c>
      <c r="H173" s="162">
        <f>H174</f>
        <v>393.5</v>
      </c>
      <c r="I173" s="152">
        <f>I174</f>
        <v>362.27055999999999</v>
      </c>
      <c r="J173" s="155">
        <f t="shared" si="21"/>
        <v>92.063674714104195</v>
      </c>
      <c r="K173" s="160">
        <f t="shared" si="22"/>
        <v>31.229440000000011</v>
      </c>
    </row>
    <row r="174" spans="1:11" s="95" customFormat="1" ht="35.25" customHeight="1" x14ac:dyDescent="0.25">
      <c r="A174" s="16" t="s">
        <v>62</v>
      </c>
      <c r="B174" s="97" t="s">
        <v>109</v>
      </c>
      <c r="C174" s="102" t="s">
        <v>104</v>
      </c>
      <c r="D174" s="102" t="s">
        <v>32</v>
      </c>
      <c r="E174" s="101">
        <v>240</v>
      </c>
      <c r="F174" s="100">
        <v>388.2</v>
      </c>
      <c r="G174" s="96">
        <f t="shared" ref="G174:G212" si="25">H174-F174</f>
        <v>5.3000000000000114</v>
      </c>
      <c r="H174" s="162">
        <v>393.5</v>
      </c>
      <c r="I174" s="156">
        <f>(21248.28+106168+35008+42959.94+67316.34+67070+22500)/1000</f>
        <v>362.27055999999999</v>
      </c>
      <c r="J174" s="155">
        <f t="shared" si="21"/>
        <v>92.063674714104195</v>
      </c>
      <c r="K174" s="160">
        <f t="shared" si="22"/>
        <v>31.229440000000011</v>
      </c>
    </row>
    <row r="175" spans="1:11" s="95" customFormat="1" ht="45.75" customHeight="1" x14ac:dyDescent="0.25">
      <c r="A175" s="16" t="s">
        <v>49</v>
      </c>
      <c r="B175" s="97" t="s">
        <v>109</v>
      </c>
      <c r="C175" s="97" t="s">
        <v>104</v>
      </c>
      <c r="D175" s="102" t="s">
        <v>33</v>
      </c>
      <c r="E175" s="101"/>
      <c r="F175" s="100">
        <v>11</v>
      </c>
      <c r="G175" s="96">
        <f t="shared" si="25"/>
        <v>0</v>
      </c>
      <c r="H175" s="144">
        <f>H176</f>
        <v>11</v>
      </c>
      <c r="I175" s="146">
        <f>I176</f>
        <v>11</v>
      </c>
      <c r="J175" s="155">
        <f t="shared" si="21"/>
        <v>100</v>
      </c>
      <c r="K175" s="160">
        <f t="shared" si="22"/>
        <v>0</v>
      </c>
    </row>
    <row r="176" spans="1:11" s="95" customFormat="1" ht="34.5" customHeight="1" x14ac:dyDescent="0.25">
      <c r="A176" s="16" t="s">
        <v>61</v>
      </c>
      <c r="B176" s="97" t="s">
        <v>109</v>
      </c>
      <c r="C176" s="97" t="s">
        <v>104</v>
      </c>
      <c r="D176" s="102" t="s">
        <v>33</v>
      </c>
      <c r="E176" s="101">
        <v>200</v>
      </c>
      <c r="F176" s="100">
        <v>11</v>
      </c>
      <c r="G176" s="96">
        <f t="shared" si="25"/>
        <v>0</v>
      </c>
      <c r="H176" s="144">
        <f>H177</f>
        <v>11</v>
      </c>
      <c r="I176" s="146">
        <f>I177</f>
        <v>11</v>
      </c>
      <c r="J176" s="155">
        <f t="shared" si="21"/>
        <v>100</v>
      </c>
      <c r="K176" s="160">
        <f t="shared" si="22"/>
        <v>0</v>
      </c>
    </row>
    <row r="177" spans="1:11" s="95" customFormat="1" ht="52.5" customHeight="1" x14ac:dyDescent="0.25">
      <c r="A177" s="16" t="s">
        <v>62</v>
      </c>
      <c r="B177" s="97" t="s">
        <v>109</v>
      </c>
      <c r="C177" s="97" t="s">
        <v>104</v>
      </c>
      <c r="D177" s="102" t="s">
        <v>33</v>
      </c>
      <c r="E177" s="101">
        <v>240</v>
      </c>
      <c r="F177" s="100">
        <v>11</v>
      </c>
      <c r="G177" s="96">
        <f t="shared" si="25"/>
        <v>0</v>
      </c>
      <c r="H177" s="144">
        <v>11</v>
      </c>
      <c r="I177" s="164">
        <f>11000/1000</f>
        <v>11</v>
      </c>
      <c r="J177" s="155">
        <f t="shared" si="21"/>
        <v>100</v>
      </c>
      <c r="K177" s="160">
        <f t="shared" si="22"/>
        <v>0</v>
      </c>
    </row>
    <row r="178" spans="1:11" s="95" customFormat="1" ht="37.700000000000003" customHeight="1" x14ac:dyDescent="0.25">
      <c r="A178" s="16" t="s">
        <v>95</v>
      </c>
      <c r="B178" s="102" t="s">
        <v>109</v>
      </c>
      <c r="C178" s="102" t="s">
        <v>104</v>
      </c>
      <c r="D178" s="102" t="s">
        <v>34</v>
      </c>
      <c r="E178" s="101"/>
      <c r="F178" s="100">
        <f>F179+F184</f>
        <v>627.9</v>
      </c>
      <c r="G178" s="96">
        <f t="shared" si="25"/>
        <v>-62.370000000000005</v>
      </c>
      <c r="H178" s="144">
        <f>H179+H184</f>
        <v>565.53</v>
      </c>
      <c r="I178" s="146">
        <f>I179+I184</f>
        <v>549.54343999999992</v>
      </c>
      <c r="J178" s="155">
        <f t="shared" si="21"/>
        <v>97.173172068678923</v>
      </c>
      <c r="K178" s="160">
        <f t="shared" si="22"/>
        <v>15.986560000000054</v>
      </c>
    </row>
    <row r="179" spans="1:11" s="95" customFormat="1" ht="75.75" customHeight="1" x14ac:dyDescent="0.25">
      <c r="A179" s="16" t="s">
        <v>48</v>
      </c>
      <c r="B179" s="102" t="s">
        <v>109</v>
      </c>
      <c r="C179" s="102" t="s">
        <v>104</v>
      </c>
      <c r="D179" s="102" t="s">
        <v>35</v>
      </c>
      <c r="E179" s="101"/>
      <c r="F179" s="100">
        <f>F180+F182</f>
        <v>483.9</v>
      </c>
      <c r="G179" s="96">
        <f t="shared" si="25"/>
        <v>-248.76999999999998</v>
      </c>
      <c r="H179" s="144">
        <f>H180+H182</f>
        <v>235.13</v>
      </c>
      <c r="I179" s="146">
        <f>I180+I182</f>
        <v>232.76844</v>
      </c>
      <c r="J179" s="155">
        <f t="shared" si="21"/>
        <v>98.995636456428358</v>
      </c>
      <c r="K179" s="160">
        <f t="shared" si="22"/>
        <v>2.3615599999999972</v>
      </c>
    </row>
    <row r="180" spans="1:11" s="95" customFormat="1" ht="96.75" customHeight="1" x14ac:dyDescent="0.25">
      <c r="A180" s="16" t="s">
        <v>57</v>
      </c>
      <c r="B180" s="102" t="s">
        <v>109</v>
      </c>
      <c r="C180" s="102" t="s">
        <v>104</v>
      </c>
      <c r="D180" s="102" t="s">
        <v>35</v>
      </c>
      <c r="E180" s="101">
        <v>100</v>
      </c>
      <c r="F180" s="100">
        <f>F181</f>
        <v>482.9</v>
      </c>
      <c r="G180" s="96">
        <f t="shared" si="25"/>
        <v>-273.77</v>
      </c>
      <c r="H180" s="144">
        <f>H181</f>
        <v>209.13</v>
      </c>
      <c r="I180" s="146">
        <f>I181</f>
        <v>209.12808999999999</v>
      </c>
      <c r="J180" s="155">
        <f t="shared" si="21"/>
        <v>99.999086692487921</v>
      </c>
      <c r="K180" s="160">
        <f t="shared" si="22"/>
        <v>1.9100000000094042E-3</v>
      </c>
    </row>
    <row r="181" spans="1:11" s="95" customFormat="1" ht="32.25" customHeight="1" x14ac:dyDescent="0.25">
      <c r="A181" s="16" t="s">
        <v>80</v>
      </c>
      <c r="B181" s="102" t="s">
        <v>109</v>
      </c>
      <c r="C181" s="102" t="s">
        <v>104</v>
      </c>
      <c r="D181" s="102" t="s">
        <v>35</v>
      </c>
      <c r="E181" s="101">
        <v>110</v>
      </c>
      <c r="F181" s="100">
        <v>482.9</v>
      </c>
      <c r="G181" s="96">
        <f t="shared" si="25"/>
        <v>-273.77</v>
      </c>
      <c r="H181" s="144">
        <v>209.13</v>
      </c>
      <c r="I181" s="156">
        <f>(163416.55+45711.54)/1000</f>
        <v>209.12808999999999</v>
      </c>
      <c r="J181" s="155">
        <f t="shared" si="21"/>
        <v>99.999086692487921</v>
      </c>
      <c r="K181" s="160">
        <f t="shared" si="22"/>
        <v>1.9100000000094042E-3</v>
      </c>
    </row>
    <row r="182" spans="1:11" s="95" customFormat="1" ht="32.25" customHeight="1" x14ac:dyDescent="0.25">
      <c r="A182" s="16" t="s">
        <v>61</v>
      </c>
      <c r="B182" s="102" t="s">
        <v>109</v>
      </c>
      <c r="C182" s="102" t="s">
        <v>104</v>
      </c>
      <c r="D182" s="102" t="s">
        <v>35</v>
      </c>
      <c r="E182" s="101">
        <v>200</v>
      </c>
      <c r="F182" s="100">
        <f>F183</f>
        <v>1</v>
      </c>
      <c r="G182" s="96">
        <f>G183</f>
        <v>25</v>
      </c>
      <c r="H182" s="144">
        <f>H183</f>
        <v>26</v>
      </c>
      <c r="I182" s="146">
        <f>I183</f>
        <v>23.640349999999998</v>
      </c>
      <c r="J182" s="155">
        <f t="shared" si="21"/>
        <v>90.924423076923063</v>
      </c>
      <c r="K182" s="160">
        <f t="shared" si="22"/>
        <v>2.359650000000002</v>
      </c>
    </row>
    <row r="183" spans="1:11" s="95" customFormat="1" ht="32.25" customHeight="1" x14ac:dyDescent="0.25">
      <c r="A183" s="16" t="s">
        <v>218</v>
      </c>
      <c r="B183" s="102" t="s">
        <v>109</v>
      </c>
      <c r="C183" s="102" t="s">
        <v>104</v>
      </c>
      <c r="D183" s="102" t="s">
        <v>35</v>
      </c>
      <c r="E183" s="101">
        <v>240</v>
      </c>
      <c r="F183" s="100">
        <v>1</v>
      </c>
      <c r="G183" s="96">
        <f>H183-F183</f>
        <v>25</v>
      </c>
      <c r="H183" s="144">
        <v>26</v>
      </c>
      <c r="I183" s="156">
        <f>(640.35+23000)/1000</f>
        <v>23.640349999999998</v>
      </c>
      <c r="J183" s="155">
        <f t="shared" si="21"/>
        <v>90.924423076923063</v>
      </c>
      <c r="K183" s="160">
        <f t="shared" si="22"/>
        <v>2.359650000000002</v>
      </c>
    </row>
    <row r="184" spans="1:11" s="95" customFormat="1" ht="63.75" customHeight="1" x14ac:dyDescent="0.25">
      <c r="A184" s="16" t="s">
        <v>96</v>
      </c>
      <c r="B184" s="97" t="s">
        <v>109</v>
      </c>
      <c r="C184" s="97" t="s">
        <v>104</v>
      </c>
      <c r="D184" s="102" t="s">
        <v>36</v>
      </c>
      <c r="E184" s="101"/>
      <c r="F184" s="100">
        <v>144</v>
      </c>
      <c r="G184" s="96">
        <f t="shared" si="25"/>
        <v>186.39999999999998</v>
      </c>
      <c r="H184" s="144">
        <f>H185</f>
        <v>330.4</v>
      </c>
      <c r="I184" s="146">
        <f>I185</f>
        <v>316.77499999999998</v>
      </c>
      <c r="J184" s="155">
        <f t="shared" si="21"/>
        <v>95.87621065375302</v>
      </c>
      <c r="K184" s="160">
        <f t="shared" si="22"/>
        <v>13.625</v>
      </c>
    </row>
    <row r="185" spans="1:11" s="95" customFormat="1" ht="37.700000000000003" customHeight="1" x14ac:dyDescent="0.25">
      <c r="A185" s="16" t="s">
        <v>61</v>
      </c>
      <c r="B185" s="97" t="s">
        <v>109</v>
      </c>
      <c r="C185" s="97" t="s">
        <v>104</v>
      </c>
      <c r="D185" s="102" t="s">
        <v>36</v>
      </c>
      <c r="E185" s="101">
        <v>200</v>
      </c>
      <c r="F185" s="100">
        <v>144</v>
      </c>
      <c r="G185" s="96">
        <f t="shared" si="25"/>
        <v>186.39999999999998</v>
      </c>
      <c r="H185" s="144">
        <f>H186</f>
        <v>330.4</v>
      </c>
      <c r="I185" s="146">
        <f>I186</f>
        <v>316.77499999999998</v>
      </c>
      <c r="J185" s="155">
        <f t="shared" si="21"/>
        <v>95.87621065375302</v>
      </c>
      <c r="K185" s="160">
        <f t="shared" si="22"/>
        <v>13.625</v>
      </c>
    </row>
    <row r="186" spans="1:11" s="95" customFormat="1" ht="42.75" customHeight="1" x14ac:dyDescent="0.25">
      <c r="A186" s="16" t="s">
        <v>62</v>
      </c>
      <c r="B186" s="97" t="s">
        <v>109</v>
      </c>
      <c r="C186" s="97" t="s">
        <v>104</v>
      </c>
      <c r="D186" s="102" t="s">
        <v>36</v>
      </c>
      <c r="E186" s="101">
        <v>240</v>
      </c>
      <c r="F186" s="100">
        <v>144</v>
      </c>
      <c r="G186" s="96">
        <f t="shared" si="25"/>
        <v>186.39999999999998</v>
      </c>
      <c r="H186" s="144">
        <v>330.4</v>
      </c>
      <c r="I186" s="156">
        <f>(157000+99775+60000)/1000</f>
        <v>316.77499999999998</v>
      </c>
      <c r="J186" s="155">
        <f t="shared" ref="J186:J213" si="26">I186/H186*100</f>
        <v>95.87621065375302</v>
      </c>
      <c r="K186" s="160">
        <f t="shared" si="22"/>
        <v>13.625</v>
      </c>
    </row>
    <row r="187" spans="1:11" s="95" customFormat="1" ht="16.5" customHeight="1" x14ac:dyDescent="0.25">
      <c r="A187" s="91" t="s">
        <v>20</v>
      </c>
      <c r="B187" s="92">
        <v>11</v>
      </c>
      <c r="C187" s="92"/>
      <c r="D187" s="124"/>
      <c r="E187" s="122"/>
      <c r="F187" s="93">
        <f>F188</f>
        <v>3842.1000000000004</v>
      </c>
      <c r="G187" s="94">
        <f t="shared" si="25"/>
        <v>490.63199999999961</v>
      </c>
      <c r="H187" s="161">
        <f t="shared" ref="H187:I189" si="27">H188</f>
        <v>4332.732</v>
      </c>
      <c r="I187" s="151">
        <f t="shared" si="27"/>
        <v>4270.8659399999997</v>
      </c>
      <c r="J187" s="155">
        <f t="shared" si="26"/>
        <v>98.572123546990667</v>
      </c>
      <c r="K187" s="160">
        <f>H187-I187</f>
        <v>61.866060000000289</v>
      </c>
    </row>
    <row r="188" spans="1:11" s="95" customFormat="1" ht="15.75" x14ac:dyDescent="0.25">
      <c r="A188" s="16" t="s">
        <v>21</v>
      </c>
      <c r="B188" s="97">
        <v>11</v>
      </c>
      <c r="C188" s="97" t="s">
        <v>104</v>
      </c>
      <c r="D188" s="125"/>
      <c r="E188" s="99"/>
      <c r="F188" s="100">
        <f>F189</f>
        <v>3842.1000000000004</v>
      </c>
      <c r="G188" s="96">
        <f>H188-F188</f>
        <v>490.63199999999961</v>
      </c>
      <c r="H188" s="162">
        <f t="shared" si="27"/>
        <v>4332.732</v>
      </c>
      <c r="I188" s="152">
        <f t="shared" si="27"/>
        <v>4270.8659399999997</v>
      </c>
      <c r="J188" s="155">
        <f t="shared" si="26"/>
        <v>98.572123546990667</v>
      </c>
      <c r="K188" s="160">
        <f t="shared" si="22"/>
        <v>61.866060000000289</v>
      </c>
    </row>
    <row r="189" spans="1:11" s="95" customFormat="1" ht="66.75" customHeight="1" x14ac:dyDescent="0.25">
      <c r="A189" s="16" t="s">
        <v>97</v>
      </c>
      <c r="B189" s="97">
        <v>11</v>
      </c>
      <c r="C189" s="97" t="s">
        <v>104</v>
      </c>
      <c r="D189" s="102" t="s">
        <v>113</v>
      </c>
      <c r="E189" s="99"/>
      <c r="F189" s="100">
        <f>F190</f>
        <v>3842.1000000000004</v>
      </c>
      <c r="G189" s="96">
        <f t="shared" si="25"/>
        <v>490.63199999999961</v>
      </c>
      <c r="H189" s="144">
        <f t="shared" si="27"/>
        <v>4332.732</v>
      </c>
      <c r="I189" s="146">
        <f t="shared" si="27"/>
        <v>4270.8659399999997</v>
      </c>
      <c r="J189" s="155">
        <f t="shared" si="26"/>
        <v>98.572123546990667</v>
      </c>
      <c r="K189" s="160">
        <f t="shared" si="22"/>
        <v>61.866060000000289</v>
      </c>
    </row>
    <row r="190" spans="1:11" s="95" customFormat="1" ht="36.75" customHeight="1" x14ac:dyDescent="0.25">
      <c r="A190" s="16" t="s">
        <v>98</v>
      </c>
      <c r="B190" s="97">
        <v>11</v>
      </c>
      <c r="C190" s="97" t="s">
        <v>104</v>
      </c>
      <c r="D190" s="102" t="s">
        <v>114</v>
      </c>
      <c r="E190" s="99"/>
      <c r="F190" s="100">
        <f>F191+F199</f>
        <v>3842.1000000000004</v>
      </c>
      <c r="G190" s="96">
        <f t="shared" si="25"/>
        <v>490.63199999999961</v>
      </c>
      <c r="H190" s="144">
        <f>H191+H199</f>
        <v>4332.732</v>
      </c>
      <c r="I190" s="146">
        <f>I191+I199</f>
        <v>4270.8659399999997</v>
      </c>
      <c r="J190" s="155">
        <f t="shared" si="26"/>
        <v>98.572123546990667</v>
      </c>
      <c r="K190" s="160">
        <f t="shared" si="22"/>
        <v>61.866060000000289</v>
      </c>
    </row>
    <row r="191" spans="1:11" s="95" customFormat="1" ht="87" customHeight="1" x14ac:dyDescent="0.25">
      <c r="A191" s="16" t="s">
        <v>48</v>
      </c>
      <c r="B191" s="97">
        <v>11</v>
      </c>
      <c r="C191" s="97" t="s">
        <v>104</v>
      </c>
      <c r="D191" s="102" t="s">
        <v>115</v>
      </c>
      <c r="E191" s="101"/>
      <c r="F191" s="100">
        <f>F192+F195+F197</f>
        <v>3702.1000000000004</v>
      </c>
      <c r="G191" s="96">
        <f t="shared" si="25"/>
        <v>294.63200000000006</v>
      </c>
      <c r="H191" s="144">
        <f>H192+H195+H197</f>
        <v>3996.7320000000004</v>
      </c>
      <c r="I191" s="146">
        <f>I192+I195+I197</f>
        <v>3935.0219400000001</v>
      </c>
      <c r="J191" s="155">
        <f t="shared" si="26"/>
        <v>98.455987041412826</v>
      </c>
      <c r="K191" s="160">
        <f t="shared" si="22"/>
        <v>61.71006000000034</v>
      </c>
    </row>
    <row r="192" spans="1:11" s="95" customFormat="1" ht="99.75" customHeight="1" x14ac:dyDescent="0.25">
      <c r="A192" s="16" t="s">
        <v>57</v>
      </c>
      <c r="B192" s="97">
        <v>11</v>
      </c>
      <c r="C192" s="97" t="s">
        <v>104</v>
      </c>
      <c r="D192" s="102" t="s">
        <v>115</v>
      </c>
      <c r="E192" s="101">
        <v>100</v>
      </c>
      <c r="F192" s="100">
        <f>F193+F194</f>
        <v>3525.2000000000003</v>
      </c>
      <c r="G192" s="96">
        <f t="shared" si="25"/>
        <v>230.73199999999997</v>
      </c>
      <c r="H192" s="144">
        <f>H193+H194</f>
        <v>3755.9320000000002</v>
      </c>
      <c r="I192" s="146">
        <f>I193+I194</f>
        <v>3729.3773999999999</v>
      </c>
      <c r="J192" s="155">
        <f t="shared" si="26"/>
        <v>99.292995719837307</v>
      </c>
      <c r="K192" s="160">
        <f t="shared" si="22"/>
        <v>26.554600000000391</v>
      </c>
    </row>
    <row r="193" spans="1:11" s="95" customFormat="1" ht="31.5" customHeight="1" x14ac:dyDescent="0.25">
      <c r="A193" s="16" t="s">
        <v>80</v>
      </c>
      <c r="B193" s="97">
        <v>11</v>
      </c>
      <c r="C193" s="97" t="s">
        <v>104</v>
      </c>
      <c r="D193" s="102" t="s">
        <v>115</v>
      </c>
      <c r="E193" s="101">
        <v>110</v>
      </c>
      <c r="F193" s="100">
        <v>3520.9</v>
      </c>
      <c r="G193" s="96">
        <f t="shared" si="25"/>
        <v>235.01999999999998</v>
      </c>
      <c r="H193" s="144">
        <v>3755.92</v>
      </c>
      <c r="I193" s="156">
        <f>(2706109.22+827150.61+196105.57)/1000</f>
        <v>3729.3653999999997</v>
      </c>
      <c r="J193" s="155">
        <f t="shared" si="26"/>
        <v>99.292993460989578</v>
      </c>
      <c r="K193" s="160">
        <f t="shared" si="22"/>
        <v>26.554600000000391</v>
      </c>
    </row>
    <row r="194" spans="1:11" s="95" customFormat="1" ht="30.75" customHeight="1" x14ac:dyDescent="0.25">
      <c r="A194" s="16" t="s">
        <v>50</v>
      </c>
      <c r="B194" s="97">
        <v>11</v>
      </c>
      <c r="C194" s="97" t="s">
        <v>104</v>
      </c>
      <c r="D194" s="102" t="s">
        <v>115</v>
      </c>
      <c r="E194" s="101">
        <v>120</v>
      </c>
      <c r="F194" s="100">
        <v>4.3</v>
      </c>
      <c r="G194" s="96">
        <f t="shared" si="25"/>
        <v>-4.2880000000000003</v>
      </c>
      <c r="H194" s="144">
        <f>12/1000</f>
        <v>1.2E-2</v>
      </c>
      <c r="I194" s="156">
        <f>12/1000</f>
        <v>1.2E-2</v>
      </c>
      <c r="J194" s="155">
        <f t="shared" si="26"/>
        <v>100</v>
      </c>
      <c r="K194" s="160">
        <f t="shared" si="22"/>
        <v>0</v>
      </c>
    </row>
    <row r="195" spans="1:11" s="95" customFormat="1" ht="33" customHeight="1" x14ac:dyDescent="0.25">
      <c r="A195" s="16" t="s">
        <v>61</v>
      </c>
      <c r="B195" s="97">
        <v>11</v>
      </c>
      <c r="C195" s="97" t="s">
        <v>104</v>
      </c>
      <c r="D195" s="102" t="s">
        <v>115</v>
      </c>
      <c r="E195" s="101">
        <v>200</v>
      </c>
      <c r="F195" s="100">
        <v>174.9</v>
      </c>
      <c r="G195" s="96">
        <f t="shared" si="25"/>
        <v>56.900000000000006</v>
      </c>
      <c r="H195" s="162">
        <f>H196</f>
        <v>231.8</v>
      </c>
      <c r="I195" s="152">
        <f>I196</f>
        <v>201.68986999999998</v>
      </c>
      <c r="J195" s="155">
        <f t="shared" si="26"/>
        <v>87.010297670405507</v>
      </c>
      <c r="K195" s="160">
        <f t="shared" si="22"/>
        <v>30.110130000000026</v>
      </c>
    </row>
    <row r="196" spans="1:11" s="95" customFormat="1" ht="31.5" customHeight="1" x14ac:dyDescent="0.25">
      <c r="A196" s="16" t="s">
        <v>62</v>
      </c>
      <c r="B196" s="97">
        <v>11</v>
      </c>
      <c r="C196" s="97" t="s">
        <v>104</v>
      </c>
      <c r="D196" s="102" t="s">
        <v>115</v>
      </c>
      <c r="E196" s="101">
        <v>240</v>
      </c>
      <c r="F196" s="100">
        <v>174.9</v>
      </c>
      <c r="G196" s="96">
        <f t="shared" si="25"/>
        <v>56.900000000000006</v>
      </c>
      <c r="H196" s="162">
        <v>231.8</v>
      </c>
      <c r="I196" s="156">
        <f>(7329.87+26010.45+34272+97519.55+19270+17288)/1000</f>
        <v>201.68986999999998</v>
      </c>
      <c r="J196" s="155">
        <f t="shared" si="26"/>
        <v>87.010297670405507</v>
      </c>
      <c r="K196" s="160">
        <f t="shared" si="22"/>
        <v>30.110130000000026</v>
      </c>
    </row>
    <row r="197" spans="1:11" s="95" customFormat="1" ht="19.7" customHeight="1" x14ac:dyDescent="0.25">
      <c r="A197" s="16" t="s">
        <v>51</v>
      </c>
      <c r="B197" s="97">
        <v>11</v>
      </c>
      <c r="C197" s="97" t="s">
        <v>104</v>
      </c>
      <c r="D197" s="102" t="s">
        <v>115</v>
      </c>
      <c r="E197" s="101">
        <v>800</v>
      </c>
      <c r="F197" s="100">
        <v>2</v>
      </c>
      <c r="G197" s="96">
        <f t="shared" si="25"/>
        <v>7</v>
      </c>
      <c r="H197" s="144">
        <f>H198</f>
        <v>9</v>
      </c>
      <c r="I197" s="146">
        <f>I198</f>
        <v>3.9546700000000001</v>
      </c>
      <c r="J197" s="155">
        <f t="shared" si="26"/>
        <v>43.940777777777775</v>
      </c>
      <c r="K197" s="160">
        <f t="shared" si="22"/>
        <v>5.0453299999999999</v>
      </c>
    </row>
    <row r="198" spans="1:11" s="95" customFormat="1" ht="19.7" customHeight="1" x14ac:dyDescent="0.25">
      <c r="A198" s="16" t="s">
        <v>52</v>
      </c>
      <c r="B198" s="97">
        <v>11</v>
      </c>
      <c r="C198" s="97" t="s">
        <v>104</v>
      </c>
      <c r="D198" s="102" t="s">
        <v>115</v>
      </c>
      <c r="E198" s="101">
        <v>850</v>
      </c>
      <c r="F198" s="100">
        <v>2</v>
      </c>
      <c r="G198" s="96">
        <f t="shared" si="25"/>
        <v>7</v>
      </c>
      <c r="H198" s="144">
        <v>9</v>
      </c>
      <c r="I198" s="156">
        <f>3954.67/1000</f>
        <v>3.9546700000000001</v>
      </c>
      <c r="J198" s="155">
        <f t="shared" si="26"/>
        <v>43.940777777777775</v>
      </c>
      <c r="K198" s="160">
        <f t="shared" si="22"/>
        <v>5.0453299999999999</v>
      </c>
    </row>
    <row r="199" spans="1:11" s="95" customFormat="1" ht="63" x14ac:dyDescent="0.25">
      <c r="A199" s="16" t="s">
        <v>99</v>
      </c>
      <c r="B199" s="102">
        <v>11</v>
      </c>
      <c r="C199" s="102" t="s">
        <v>104</v>
      </c>
      <c r="D199" s="102" t="s">
        <v>116</v>
      </c>
      <c r="E199" s="101"/>
      <c r="F199" s="100">
        <v>140</v>
      </c>
      <c r="G199" s="96">
        <f t="shared" si="25"/>
        <v>196</v>
      </c>
      <c r="H199" s="144">
        <f>H200</f>
        <v>336</v>
      </c>
      <c r="I199" s="146">
        <f>I200</f>
        <v>335.84399999999999</v>
      </c>
      <c r="J199" s="155">
        <f t="shared" si="26"/>
        <v>99.953571428571436</v>
      </c>
      <c r="K199" s="160">
        <f t="shared" si="22"/>
        <v>0.15600000000000591</v>
      </c>
    </row>
    <row r="200" spans="1:11" s="95" customFormat="1" ht="31.5" x14ac:dyDescent="0.25">
      <c r="A200" s="16" t="s">
        <v>61</v>
      </c>
      <c r="B200" s="97">
        <v>11</v>
      </c>
      <c r="C200" s="97" t="s">
        <v>104</v>
      </c>
      <c r="D200" s="102" t="s">
        <v>116</v>
      </c>
      <c r="E200" s="101">
        <v>200</v>
      </c>
      <c r="F200" s="100">
        <v>140</v>
      </c>
      <c r="G200" s="96">
        <f t="shared" si="25"/>
        <v>196</v>
      </c>
      <c r="H200" s="144">
        <f>H201</f>
        <v>336</v>
      </c>
      <c r="I200" s="146">
        <f>I201</f>
        <v>335.84399999999999</v>
      </c>
      <c r="J200" s="155">
        <f t="shared" si="26"/>
        <v>99.953571428571436</v>
      </c>
      <c r="K200" s="160">
        <f t="shared" si="22"/>
        <v>0.15600000000000591</v>
      </c>
    </row>
    <row r="201" spans="1:11" s="95" customFormat="1" ht="57.75" customHeight="1" x14ac:dyDescent="0.25">
      <c r="A201" s="16" t="s">
        <v>62</v>
      </c>
      <c r="B201" s="97">
        <v>11</v>
      </c>
      <c r="C201" s="97" t="s">
        <v>104</v>
      </c>
      <c r="D201" s="102" t="s">
        <v>116</v>
      </c>
      <c r="E201" s="101">
        <v>240</v>
      </c>
      <c r="F201" s="100">
        <v>140</v>
      </c>
      <c r="G201" s="96">
        <f t="shared" si="25"/>
        <v>196</v>
      </c>
      <c r="H201" s="144">
        <v>336</v>
      </c>
      <c r="I201" s="156">
        <f>(112502+109880+99000+14462)/1000</f>
        <v>335.84399999999999</v>
      </c>
      <c r="J201" s="155">
        <f t="shared" si="26"/>
        <v>99.953571428571436</v>
      </c>
      <c r="K201" s="160">
        <f t="shared" ref="K201:K212" si="28">H201-I201</f>
        <v>0.15600000000000591</v>
      </c>
    </row>
    <row r="202" spans="1:11" s="95" customFormat="1" ht="75.75" customHeight="1" x14ac:dyDescent="0.25">
      <c r="A202" s="91" t="s">
        <v>22</v>
      </c>
      <c r="B202" s="92">
        <v>14</v>
      </c>
      <c r="C202" s="92"/>
      <c r="D202" s="124"/>
      <c r="E202" s="122"/>
      <c r="F202" s="93">
        <v>39.700000000000003</v>
      </c>
      <c r="G202" s="94">
        <f t="shared" si="25"/>
        <v>1.9999999999996021E-2</v>
      </c>
      <c r="H202" s="160">
        <f>H203</f>
        <v>39.72</v>
      </c>
      <c r="I202" s="150">
        <f>I203</f>
        <v>39.716000000000001</v>
      </c>
      <c r="J202" s="155">
        <f t="shared" si="26"/>
        <v>99.98992950654582</v>
      </c>
      <c r="K202" s="160">
        <f t="shared" si="28"/>
        <v>3.9999999999977831E-3</v>
      </c>
    </row>
    <row r="203" spans="1:11" s="95" customFormat="1" ht="15.75" x14ac:dyDescent="0.25">
      <c r="A203" s="16" t="s">
        <v>23</v>
      </c>
      <c r="B203" s="97">
        <v>14</v>
      </c>
      <c r="C203" s="97" t="s">
        <v>106</v>
      </c>
      <c r="D203" s="125"/>
      <c r="E203" s="99"/>
      <c r="F203" s="100">
        <v>39.700000000000003</v>
      </c>
      <c r="G203" s="96">
        <f t="shared" si="25"/>
        <v>1.9999999999996021E-2</v>
      </c>
      <c r="H203" s="144">
        <f>H204+H208</f>
        <v>39.72</v>
      </c>
      <c r="I203" s="146">
        <f>I204+I208</f>
        <v>39.716000000000001</v>
      </c>
      <c r="J203" s="155">
        <f t="shared" si="26"/>
        <v>99.98992950654582</v>
      </c>
      <c r="K203" s="160">
        <f t="shared" si="28"/>
        <v>3.9999999999977831E-3</v>
      </c>
    </row>
    <row r="204" spans="1:11" s="95" customFormat="1" ht="47.25" x14ac:dyDescent="0.25">
      <c r="A204" s="16" t="s">
        <v>74</v>
      </c>
      <c r="B204" s="97">
        <v>14</v>
      </c>
      <c r="C204" s="97" t="s">
        <v>106</v>
      </c>
      <c r="D204" s="102">
        <v>2200000</v>
      </c>
      <c r="E204" s="101"/>
      <c r="F204" s="100">
        <v>29.2</v>
      </c>
      <c r="G204" s="96">
        <f t="shared" si="25"/>
        <v>1.9999999999999574E-2</v>
      </c>
      <c r="H204" s="144">
        <f t="shared" ref="H204:I206" si="29">H205</f>
        <v>29.22</v>
      </c>
      <c r="I204" s="146">
        <f t="shared" si="29"/>
        <v>29.216000000000001</v>
      </c>
      <c r="J204" s="155">
        <f t="shared" si="26"/>
        <v>99.986310746064348</v>
      </c>
      <c r="K204" s="160">
        <f t="shared" si="28"/>
        <v>3.9999999999977831E-3</v>
      </c>
    </row>
    <row r="205" spans="1:11" s="95" customFormat="1" ht="31.5" x14ac:dyDescent="0.25">
      <c r="A205" s="16" t="s">
        <v>100</v>
      </c>
      <c r="B205" s="97">
        <v>14</v>
      </c>
      <c r="C205" s="97" t="s">
        <v>106</v>
      </c>
      <c r="D205" s="102">
        <v>2207080</v>
      </c>
      <c r="E205" s="101"/>
      <c r="F205" s="100">
        <v>29.2</v>
      </c>
      <c r="G205" s="96">
        <f t="shared" si="25"/>
        <v>1.9999999999999574E-2</v>
      </c>
      <c r="H205" s="144">
        <f t="shared" si="29"/>
        <v>29.22</v>
      </c>
      <c r="I205" s="146">
        <f t="shared" si="29"/>
        <v>29.216000000000001</v>
      </c>
      <c r="J205" s="155">
        <f t="shared" si="26"/>
        <v>99.986310746064348</v>
      </c>
      <c r="K205" s="160">
        <f t="shared" si="28"/>
        <v>3.9999999999977831E-3</v>
      </c>
    </row>
    <row r="206" spans="1:11" s="95" customFormat="1" ht="15.75" x14ac:dyDescent="0.25">
      <c r="A206" s="16" t="s">
        <v>101</v>
      </c>
      <c r="B206" s="97">
        <v>14</v>
      </c>
      <c r="C206" s="97" t="s">
        <v>106</v>
      </c>
      <c r="D206" s="102">
        <v>2207080</v>
      </c>
      <c r="E206" s="101">
        <v>500</v>
      </c>
      <c r="F206" s="100">
        <v>29.2</v>
      </c>
      <c r="G206" s="96">
        <f t="shared" si="25"/>
        <v>1.9999999999999574E-2</v>
      </c>
      <c r="H206" s="144">
        <f t="shared" si="29"/>
        <v>29.22</v>
      </c>
      <c r="I206" s="146">
        <f t="shared" si="29"/>
        <v>29.216000000000001</v>
      </c>
      <c r="J206" s="155">
        <f t="shared" si="26"/>
        <v>99.986310746064348</v>
      </c>
      <c r="K206" s="160">
        <f t="shared" si="28"/>
        <v>3.9999999999977831E-3</v>
      </c>
    </row>
    <row r="207" spans="1:11" s="95" customFormat="1" ht="15.75" x14ac:dyDescent="0.25">
      <c r="A207" s="16" t="s">
        <v>102</v>
      </c>
      <c r="B207" s="97">
        <v>14</v>
      </c>
      <c r="C207" s="97" t="s">
        <v>106</v>
      </c>
      <c r="D207" s="102">
        <v>2207080</v>
      </c>
      <c r="E207" s="101">
        <v>540</v>
      </c>
      <c r="F207" s="100">
        <v>29.2</v>
      </c>
      <c r="G207" s="96">
        <f t="shared" si="25"/>
        <v>1.9999999999999574E-2</v>
      </c>
      <c r="H207" s="144">
        <v>29.22</v>
      </c>
      <c r="I207" s="156">
        <f>29216/1000</f>
        <v>29.216000000000001</v>
      </c>
      <c r="J207" s="155">
        <f t="shared" si="26"/>
        <v>99.986310746064348</v>
      </c>
      <c r="K207" s="160">
        <f t="shared" si="28"/>
        <v>3.9999999999977831E-3</v>
      </c>
    </row>
    <row r="208" spans="1:11" ht="64.5" customHeight="1" x14ac:dyDescent="0.25">
      <c r="A208" s="15" t="s">
        <v>103</v>
      </c>
      <c r="B208" s="7">
        <v>14</v>
      </c>
      <c r="C208" s="7" t="s">
        <v>106</v>
      </c>
      <c r="D208" s="13">
        <v>2500000</v>
      </c>
      <c r="E208" s="12"/>
      <c r="F208" s="8">
        <v>10.5</v>
      </c>
      <c r="G208" s="28">
        <f t="shared" si="25"/>
        <v>0</v>
      </c>
      <c r="H208" s="158">
        <f t="shared" ref="H208:I211" si="30">H209</f>
        <v>10.5</v>
      </c>
      <c r="I208" s="148">
        <f t="shared" si="30"/>
        <v>10.5</v>
      </c>
      <c r="J208" s="155">
        <f t="shared" si="26"/>
        <v>100</v>
      </c>
      <c r="K208" s="160">
        <f t="shared" si="28"/>
        <v>0</v>
      </c>
    </row>
    <row r="209" spans="1:11" ht="56.25" customHeight="1" x14ac:dyDescent="0.25">
      <c r="A209" s="15" t="s">
        <v>59</v>
      </c>
      <c r="B209" s="13">
        <v>14</v>
      </c>
      <c r="C209" s="13" t="s">
        <v>106</v>
      </c>
      <c r="D209" s="13">
        <v>2510000</v>
      </c>
      <c r="E209" s="12"/>
      <c r="F209" s="8">
        <v>10.5</v>
      </c>
      <c r="G209" s="28">
        <f t="shared" si="25"/>
        <v>0</v>
      </c>
      <c r="H209" s="158">
        <f t="shared" si="30"/>
        <v>10.5</v>
      </c>
      <c r="I209" s="148">
        <f t="shared" si="30"/>
        <v>10.5</v>
      </c>
      <c r="J209" s="155">
        <f t="shared" si="26"/>
        <v>100</v>
      </c>
      <c r="K209" s="160">
        <f t="shared" si="28"/>
        <v>0</v>
      </c>
    </row>
    <row r="210" spans="1:11" ht="21.75" customHeight="1" x14ac:dyDescent="0.25">
      <c r="A210" s="15" t="s">
        <v>100</v>
      </c>
      <c r="B210" s="13">
        <v>14</v>
      </c>
      <c r="C210" s="13" t="s">
        <v>106</v>
      </c>
      <c r="D210" s="13">
        <v>2517080</v>
      </c>
      <c r="E210" s="12"/>
      <c r="F210" s="8">
        <v>10.5</v>
      </c>
      <c r="G210" s="28">
        <f t="shared" si="25"/>
        <v>0</v>
      </c>
      <c r="H210" s="158">
        <f t="shared" si="30"/>
        <v>10.5</v>
      </c>
      <c r="I210" s="148">
        <f t="shared" si="30"/>
        <v>10.5</v>
      </c>
      <c r="J210" s="155">
        <f t="shared" si="26"/>
        <v>100</v>
      </c>
      <c r="K210" s="160">
        <f t="shared" si="28"/>
        <v>0</v>
      </c>
    </row>
    <row r="211" spans="1:11" ht="15.75" x14ac:dyDescent="0.25">
      <c r="A211" s="15" t="s">
        <v>101</v>
      </c>
      <c r="B211" s="13">
        <v>14</v>
      </c>
      <c r="C211" s="13" t="s">
        <v>106</v>
      </c>
      <c r="D211" s="13">
        <v>2517080</v>
      </c>
      <c r="E211" s="12">
        <v>500</v>
      </c>
      <c r="F211" s="8">
        <v>10.5</v>
      </c>
      <c r="G211" s="28">
        <f t="shared" si="25"/>
        <v>0</v>
      </c>
      <c r="H211" s="158">
        <f t="shared" si="30"/>
        <v>10.5</v>
      </c>
      <c r="I211" s="148">
        <f t="shared" si="30"/>
        <v>10.5</v>
      </c>
      <c r="J211" s="155">
        <f t="shared" si="26"/>
        <v>100</v>
      </c>
      <c r="K211" s="160">
        <f t="shared" si="28"/>
        <v>0</v>
      </c>
    </row>
    <row r="212" spans="1:11" ht="15.75" x14ac:dyDescent="0.25">
      <c r="A212" s="15" t="s">
        <v>102</v>
      </c>
      <c r="B212" s="13">
        <v>14</v>
      </c>
      <c r="C212" s="13" t="s">
        <v>106</v>
      </c>
      <c r="D212" s="12">
        <v>2517080</v>
      </c>
      <c r="E212" s="12">
        <v>540</v>
      </c>
      <c r="F212" s="8">
        <v>10.5</v>
      </c>
      <c r="G212" s="28">
        <f t="shared" si="25"/>
        <v>0</v>
      </c>
      <c r="H212" s="158">
        <v>10.5</v>
      </c>
      <c r="I212" s="154">
        <f>10500/1000</f>
        <v>10.5</v>
      </c>
      <c r="J212" s="155">
        <f t="shared" si="26"/>
        <v>100</v>
      </c>
      <c r="K212" s="160">
        <f t="shared" si="28"/>
        <v>0</v>
      </c>
    </row>
    <row r="213" spans="1:11" ht="15.75" x14ac:dyDescent="0.25">
      <c r="A213" s="34" t="s">
        <v>24</v>
      </c>
      <c r="B213" s="34"/>
      <c r="C213" s="34"/>
      <c r="D213" s="34"/>
      <c r="E213" s="34"/>
      <c r="F213" s="35" t="e">
        <f>F202+F187+F159+F123+F103+F82+F76+F8</f>
        <v>#REF!</v>
      </c>
      <c r="G213" s="38" t="e">
        <f>H213-F213</f>
        <v>#REF!</v>
      </c>
      <c r="H213" s="163">
        <f>H202+H187+H159+H123+H103+H82+H76+H8</f>
        <v>24904.312310000001</v>
      </c>
      <c r="I213" s="153">
        <f>I202+I187+I159+I123+I103+I82+I76+I8</f>
        <v>23650.324679999998</v>
      </c>
      <c r="J213" s="227">
        <f t="shared" si="26"/>
        <v>94.964777126182753</v>
      </c>
      <c r="K213" s="214">
        <f>H213-I213</f>
        <v>1253.9876300000033</v>
      </c>
    </row>
    <row r="215" spans="1:11" x14ac:dyDescent="0.25">
      <c r="H215" s="5"/>
    </row>
    <row r="216" spans="1:11" x14ac:dyDescent="0.25">
      <c r="H216" s="37"/>
      <c r="I216" s="5"/>
    </row>
    <row r="217" spans="1:11" x14ac:dyDescent="0.25">
      <c r="G217" s="39"/>
    </row>
    <row r="222" spans="1:11" x14ac:dyDescent="0.25">
      <c r="I222" s="143"/>
    </row>
  </sheetData>
  <autoFilter ref="A6:H213"/>
  <mergeCells count="14">
    <mergeCell ref="J1:K1"/>
    <mergeCell ref="G6:G7"/>
    <mergeCell ref="H6:H7"/>
    <mergeCell ref="G1:H1"/>
    <mergeCell ref="B6:B7"/>
    <mergeCell ref="C6:C7"/>
    <mergeCell ref="D6:D7"/>
    <mergeCell ref="E6:E7"/>
    <mergeCell ref="F6:F7"/>
    <mergeCell ref="A6:A7"/>
    <mergeCell ref="A3:K3"/>
    <mergeCell ref="I6:I7"/>
    <mergeCell ref="J6:J7"/>
    <mergeCell ref="K6:K7"/>
  </mergeCells>
  <pageMargins left="1" right="1" top="1" bottom="1" header="0.5" footer="0.5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opLeftCell="A62" workbookViewId="0">
      <selection activeCell="A74" sqref="A74"/>
    </sheetView>
  </sheetViews>
  <sheetFormatPr defaultRowHeight="15" x14ac:dyDescent="0.25"/>
  <cols>
    <col min="1" max="1" width="68" style="4" customWidth="1"/>
    <col min="2" max="2" width="12" style="4" customWidth="1"/>
    <col min="3" max="3" width="8" style="4" customWidth="1"/>
    <col min="4" max="4" width="16.140625" style="4" hidden="1" customWidth="1"/>
    <col min="5" max="5" width="12.5703125" style="4" hidden="1" customWidth="1"/>
    <col min="6" max="6" width="12.85546875" style="4" customWidth="1"/>
    <col min="7" max="7" width="12.140625" style="4" customWidth="1"/>
    <col min="8" max="8" width="11.42578125" style="4" customWidth="1"/>
    <col min="9" max="9" width="18.7109375" style="4" customWidth="1"/>
    <col min="10" max="16384" width="9.140625" style="4"/>
  </cols>
  <sheetData>
    <row r="1" spans="1:11" ht="72.75" customHeight="1" x14ac:dyDescent="0.25">
      <c r="A1" s="91"/>
      <c r="B1" s="1"/>
      <c r="C1" s="263"/>
      <c r="D1" s="263"/>
      <c r="E1" s="276"/>
      <c r="F1" s="276"/>
      <c r="G1" s="276"/>
      <c r="H1" s="276"/>
      <c r="I1" s="220" t="s">
        <v>351</v>
      </c>
      <c r="J1" s="220"/>
    </row>
    <row r="2" spans="1:11" ht="15" customHeight="1" x14ac:dyDescent="0.25">
      <c r="A2" s="267" t="s">
        <v>130</v>
      </c>
      <c r="B2" s="267"/>
      <c r="C2" s="267"/>
      <c r="D2" s="267"/>
      <c r="E2" s="267"/>
      <c r="F2" s="267"/>
      <c r="G2" s="267"/>
      <c r="H2" s="267"/>
      <c r="I2" s="267"/>
    </row>
    <row r="3" spans="1:11" ht="32.25" customHeight="1" x14ac:dyDescent="0.25">
      <c r="A3" s="267"/>
      <c r="B3" s="267"/>
      <c r="C3" s="267"/>
      <c r="D3" s="267"/>
      <c r="E3" s="267"/>
      <c r="F3" s="267"/>
      <c r="G3" s="267"/>
      <c r="H3" s="267"/>
      <c r="I3" s="267"/>
      <c r="J3" s="258"/>
      <c r="K3" s="258"/>
    </row>
    <row r="4" spans="1:11" x14ac:dyDescent="0.25">
      <c r="C4" s="277"/>
      <c r="D4" s="277"/>
      <c r="E4" s="277"/>
      <c r="F4" s="277"/>
      <c r="G4" s="277"/>
      <c r="H4" s="277"/>
      <c r="I4" s="231" t="s">
        <v>111</v>
      </c>
      <c r="J4" s="259"/>
      <c r="K4" s="258"/>
    </row>
    <row r="5" spans="1:11" ht="15" customHeight="1" x14ac:dyDescent="0.25">
      <c r="A5" s="265" t="s">
        <v>0</v>
      </c>
      <c r="B5" s="273" t="s">
        <v>3</v>
      </c>
      <c r="C5" s="273" t="s">
        <v>4</v>
      </c>
      <c r="D5" s="274" t="s">
        <v>269</v>
      </c>
      <c r="E5" s="268" t="s">
        <v>183</v>
      </c>
      <c r="F5" s="268" t="s">
        <v>346</v>
      </c>
      <c r="G5" s="268" t="s">
        <v>345</v>
      </c>
      <c r="H5" s="270" t="s">
        <v>343</v>
      </c>
      <c r="I5" s="275" t="s">
        <v>344</v>
      </c>
      <c r="J5" s="258"/>
      <c r="K5" s="258"/>
    </row>
    <row r="6" spans="1:11" ht="65.25" customHeight="1" x14ac:dyDescent="0.25">
      <c r="A6" s="266"/>
      <c r="B6" s="273"/>
      <c r="C6" s="273"/>
      <c r="D6" s="274"/>
      <c r="E6" s="269"/>
      <c r="F6" s="269"/>
      <c r="G6" s="269"/>
      <c r="H6" s="271"/>
      <c r="I6" s="275"/>
      <c r="J6" s="258"/>
      <c r="K6" s="258"/>
    </row>
    <row r="7" spans="1:11" ht="33.75" customHeight="1" x14ac:dyDescent="0.25">
      <c r="A7" s="118" t="s">
        <v>253</v>
      </c>
      <c r="B7" s="59" t="s">
        <v>229</v>
      </c>
      <c r="C7" s="48"/>
      <c r="D7" s="114">
        <f>D8</f>
        <v>330.99699999999996</v>
      </c>
      <c r="E7" s="115"/>
      <c r="F7" s="165">
        <f>F8</f>
        <v>296.63</v>
      </c>
      <c r="G7" s="165">
        <f>G8</f>
        <v>296.63</v>
      </c>
      <c r="H7" s="221">
        <f>G7/F7*100</f>
        <v>100</v>
      </c>
      <c r="I7" s="222">
        <f>F7-G7</f>
        <v>0</v>
      </c>
    </row>
    <row r="8" spans="1:11" ht="36" customHeight="1" x14ac:dyDescent="0.25">
      <c r="A8" s="117" t="s">
        <v>254</v>
      </c>
      <c r="B8" s="97" t="s">
        <v>213</v>
      </c>
      <c r="C8" s="99"/>
      <c r="D8" s="112">
        <f>D10+D12</f>
        <v>330.99699999999996</v>
      </c>
      <c r="E8" s="113">
        <f>E9+E11</f>
        <v>-34.366999999999962</v>
      </c>
      <c r="F8" s="166">
        <f>F10+F12</f>
        <v>296.63</v>
      </c>
      <c r="G8" s="166">
        <f>G10+G12</f>
        <v>296.63</v>
      </c>
      <c r="H8" s="178">
        <f t="shared" ref="H8:H68" si="0">G8/F8*100</f>
        <v>100</v>
      </c>
      <c r="I8" s="179">
        <f t="shared" ref="I8:I68" si="1">F8-G8</f>
        <v>0</v>
      </c>
    </row>
    <row r="9" spans="1:11" ht="60" customHeight="1" x14ac:dyDescent="0.25">
      <c r="A9" s="116" t="s">
        <v>57</v>
      </c>
      <c r="B9" s="97" t="s">
        <v>213</v>
      </c>
      <c r="C9" s="99">
        <v>100</v>
      </c>
      <c r="D9" s="112">
        <f>D10</f>
        <v>317.09699999999998</v>
      </c>
      <c r="E9" s="113">
        <f>E10</f>
        <v>-34.366999999999962</v>
      </c>
      <c r="F9" s="166">
        <f>F10</f>
        <v>282.73</v>
      </c>
      <c r="G9" s="166">
        <f>G10</f>
        <v>282.73</v>
      </c>
      <c r="H9" s="178">
        <f t="shared" si="0"/>
        <v>100</v>
      </c>
      <c r="I9" s="179">
        <f t="shared" si="1"/>
        <v>0</v>
      </c>
    </row>
    <row r="10" spans="1:11" ht="36" customHeight="1" x14ac:dyDescent="0.25">
      <c r="A10" s="117" t="s">
        <v>250</v>
      </c>
      <c r="B10" s="97" t="s">
        <v>213</v>
      </c>
      <c r="C10" s="99">
        <v>110</v>
      </c>
      <c r="D10" s="112">
        <v>317.09699999999998</v>
      </c>
      <c r="E10" s="113">
        <f>F10-D10</f>
        <v>-34.366999999999962</v>
      </c>
      <c r="F10" s="166">
        <v>282.73</v>
      </c>
      <c r="G10" s="166">
        <v>282.73</v>
      </c>
      <c r="H10" s="178">
        <f t="shared" si="0"/>
        <v>100</v>
      </c>
      <c r="I10" s="179">
        <f t="shared" si="1"/>
        <v>0</v>
      </c>
    </row>
    <row r="11" spans="1:11" ht="36" customHeight="1" x14ac:dyDescent="0.25">
      <c r="A11" s="116" t="s">
        <v>61</v>
      </c>
      <c r="B11" s="97" t="s">
        <v>213</v>
      </c>
      <c r="C11" s="99">
        <v>200</v>
      </c>
      <c r="D11" s="112">
        <f>D12</f>
        <v>13.9</v>
      </c>
      <c r="E11" s="113">
        <f>E12</f>
        <v>0</v>
      </c>
      <c r="F11" s="166">
        <f>F12</f>
        <v>13.9</v>
      </c>
      <c r="G11" s="166">
        <f>G12</f>
        <v>13.9</v>
      </c>
      <c r="H11" s="178">
        <f t="shared" si="0"/>
        <v>100</v>
      </c>
      <c r="I11" s="179">
        <f t="shared" si="1"/>
        <v>0</v>
      </c>
    </row>
    <row r="12" spans="1:11" ht="36" customHeight="1" x14ac:dyDescent="0.25">
      <c r="A12" s="116" t="s">
        <v>218</v>
      </c>
      <c r="B12" s="97" t="s">
        <v>213</v>
      </c>
      <c r="C12" s="99">
        <v>240</v>
      </c>
      <c r="D12" s="112">
        <v>13.9</v>
      </c>
      <c r="E12" s="113">
        <f>F12-D12</f>
        <v>0</v>
      </c>
      <c r="F12" s="166">
        <v>13.9</v>
      </c>
      <c r="G12" s="166">
        <v>13.9</v>
      </c>
      <c r="H12" s="178">
        <f t="shared" si="0"/>
        <v>100</v>
      </c>
      <c r="I12" s="179">
        <f t="shared" si="1"/>
        <v>0</v>
      </c>
    </row>
    <row r="13" spans="1:11" ht="31.5" x14ac:dyDescent="0.25">
      <c r="A13" s="43" t="s">
        <v>69</v>
      </c>
      <c r="B13" s="44" t="s">
        <v>27</v>
      </c>
      <c r="C13" s="45"/>
      <c r="D13" s="46">
        <f>D14</f>
        <v>9.9</v>
      </c>
      <c r="E13" s="47">
        <f>F13-D13</f>
        <v>-6.2</v>
      </c>
      <c r="F13" s="167">
        <f t="shared" ref="F13:G15" si="2">F14</f>
        <v>3.7</v>
      </c>
      <c r="G13" s="167">
        <f t="shared" si="2"/>
        <v>3.7</v>
      </c>
      <c r="H13" s="221">
        <f t="shared" si="0"/>
        <v>100</v>
      </c>
      <c r="I13" s="222">
        <f t="shared" si="1"/>
        <v>0</v>
      </c>
    </row>
    <row r="14" spans="1:11" ht="31.5" x14ac:dyDescent="0.25">
      <c r="A14" s="15" t="s">
        <v>53</v>
      </c>
      <c r="B14" s="13" t="s">
        <v>28</v>
      </c>
      <c r="C14" s="12"/>
      <c r="D14" s="8">
        <f>D15</f>
        <v>9.9</v>
      </c>
      <c r="E14" s="40">
        <f t="shared" ref="E14:E98" si="3">F14-D14</f>
        <v>-6.2</v>
      </c>
      <c r="F14" s="168">
        <f t="shared" si="2"/>
        <v>3.7</v>
      </c>
      <c r="G14" s="168">
        <f t="shared" si="2"/>
        <v>3.7</v>
      </c>
      <c r="H14" s="178">
        <f t="shared" si="0"/>
        <v>100</v>
      </c>
      <c r="I14" s="179">
        <f t="shared" si="1"/>
        <v>0</v>
      </c>
    </row>
    <row r="15" spans="1:11" ht="31.5" x14ac:dyDescent="0.25">
      <c r="A15" s="15" t="s">
        <v>61</v>
      </c>
      <c r="B15" s="13" t="s">
        <v>28</v>
      </c>
      <c r="C15" s="12">
        <v>200</v>
      </c>
      <c r="D15" s="8">
        <f>D16</f>
        <v>9.9</v>
      </c>
      <c r="E15" s="40">
        <f t="shared" si="3"/>
        <v>-6.2</v>
      </c>
      <c r="F15" s="168">
        <f t="shared" si="2"/>
        <v>3.7</v>
      </c>
      <c r="G15" s="168">
        <f t="shared" si="2"/>
        <v>3.7</v>
      </c>
      <c r="H15" s="178">
        <f t="shared" si="0"/>
        <v>100</v>
      </c>
      <c r="I15" s="179">
        <f t="shared" si="1"/>
        <v>0</v>
      </c>
    </row>
    <row r="16" spans="1:11" ht="31.5" x14ac:dyDescent="0.25">
      <c r="A16" s="15" t="s">
        <v>62</v>
      </c>
      <c r="B16" s="13" t="s">
        <v>28</v>
      </c>
      <c r="C16" s="12">
        <v>240</v>
      </c>
      <c r="D16" s="8">
        <v>9.9</v>
      </c>
      <c r="E16" s="40">
        <f t="shared" si="3"/>
        <v>-6.2</v>
      </c>
      <c r="F16" s="168">
        <v>3.7</v>
      </c>
      <c r="G16" s="168">
        <v>3.7</v>
      </c>
      <c r="H16" s="178">
        <f t="shared" si="0"/>
        <v>100</v>
      </c>
      <c r="I16" s="179">
        <f t="shared" si="1"/>
        <v>0</v>
      </c>
    </row>
    <row r="17" spans="1:9" ht="31.5" x14ac:dyDescent="0.25">
      <c r="A17" s="43" t="s">
        <v>92</v>
      </c>
      <c r="B17" s="44" t="s">
        <v>29</v>
      </c>
      <c r="C17" s="45"/>
      <c r="D17" s="46">
        <f>D18+D26+D35</f>
        <v>2496.6</v>
      </c>
      <c r="E17" s="47">
        <f t="shared" si="3"/>
        <v>-228.92999999999984</v>
      </c>
      <c r="F17" s="167">
        <f>F18+F26+F35</f>
        <v>2267.67</v>
      </c>
      <c r="G17" s="167">
        <f>G18+G26+G35</f>
        <v>2201.1</v>
      </c>
      <c r="H17" s="221">
        <f t="shared" si="0"/>
        <v>97.064387675455421</v>
      </c>
      <c r="I17" s="222">
        <f t="shared" si="1"/>
        <v>66.570000000000164</v>
      </c>
    </row>
    <row r="18" spans="1:9" ht="31.5" x14ac:dyDescent="0.25">
      <c r="A18" s="49" t="s">
        <v>93</v>
      </c>
      <c r="B18" s="50" t="s">
        <v>30</v>
      </c>
      <c r="C18" s="51"/>
      <c r="D18" s="52">
        <f>D19+D23</f>
        <v>221</v>
      </c>
      <c r="E18" s="55">
        <f t="shared" si="3"/>
        <v>4.0000000000020464E-2</v>
      </c>
      <c r="F18" s="169">
        <f>F19+F23</f>
        <v>221.04000000000002</v>
      </c>
      <c r="G18" s="169">
        <f>G19+G23</f>
        <v>221</v>
      </c>
      <c r="H18" s="223">
        <f t="shared" si="0"/>
        <v>99.981903727832062</v>
      </c>
      <c r="I18" s="224">
        <f t="shared" si="1"/>
        <v>4.0000000000020464E-2</v>
      </c>
    </row>
    <row r="19" spans="1:9" ht="47.25" x14ac:dyDescent="0.25">
      <c r="A19" s="15" t="s">
        <v>47</v>
      </c>
      <c r="B19" s="13" t="s">
        <v>37</v>
      </c>
      <c r="C19" s="12"/>
      <c r="D19" s="8">
        <f>D20</f>
        <v>187.8</v>
      </c>
      <c r="E19" s="40">
        <f t="shared" si="3"/>
        <v>3.9999999999992042E-2</v>
      </c>
      <c r="F19" s="168">
        <f>F20</f>
        <v>187.84</v>
      </c>
      <c r="G19" s="168">
        <f>G20</f>
        <v>187.84</v>
      </c>
      <c r="H19" s="178">
        <f t="shared" si="0"/>
        <v>100</v>
      </c>
      <c r="I19" s="179">
        <f t="shared" si="1"/>
        <v>0</v>
      </c>
    </row>
    <row r="20" spans="1:9" ht="31.5" x14ac:dyDescent="0.25">
      <c r="A20" s="15" t="s">
        <v>61</v>
      </c>
      <c r="B20" s="13" t="s">
        <v>37</v>
      </c>
      <c r="C20" s="12">
        <v>200</v>
      </c>
      <c r="D20" s="8">
        <f>D21</f>
        <v>187.8</v>
      </c>
      <c r="E20" s="40">
        <f t="shared" si="3"/>
        <v>3.9999999999992042E-2</v>
      </c>
      <c r="F20" s="168">
        <f>F21</f>
        <v>187.84</v>
      </c>
      <c r="G20" s="168">
        <f>G21</f>
        <v>187.84</v>
      </c>
      <c r="H20" s="178">
        <f t="shared" si="0"/>
        <v>100</v>
      </c>
      <c r="I20" s="179">
        <f t="shared" si="1"/>
        <v>0</v>
      </c>
    </row>
    <row r="21" spans="1:9" ht="31.5" x14ac:dyDescent="0.25">
      <c r="A21" s="15" t="s">
        <v>62</v>
      </c>
      <c r="B21" s="13" t="s">
        <v>37</v>
      </c>
      <c r="C21" s="12">
        <v>240</v>
      </c>
      <c r="D21" s="8">
        <v>187.8</v>
      </c>
      <c r="E21" s="40">
        <f t="shared" si="3"/>
        <v>3.9999999999992042E-2</v>
      </c>
      <c r="F21" s="168">
        <v>187.84</v>
      </c>
      <c r="G21" s="168">
        <v>187.84</v>
      </c>
      <c r="H21" s="178">
        <f t="shared" si="0"/>
        <v>100</v>
      </c>
      <c r="I21" s="179">
        <f t="shared" si="1"/>
        <v>0</v>
      </c>
    </row>
    <row r="22" spans="1:9" ht="31.5" hidden="1" x14ac:dyDescent="0.25">
      <c r="A22" s="15" t="s">
        <v>46</v>
      </c>
      <c r="B22" s="13" t="s">
        <v>38</v>
      </c>
      <c r="C22" s="12"/>
      <c r="D22" s="8">
        <f>D24</f>
        <v>33.200000000000003</v>
      </c>
      <c r="E22" s="40">
        <f t="shared" si="3"/>
        <v>0</v>
      </c>
      <c r="F22" s="168">
        <f>F24</f>
        <v>33.200000000000003</v>
      </c>
      <c r="G22" s="168">
        <f>G24</f>
        <v>33.159999999999997</v>
      </c>
      <c r="H22" s="178">
        <f t="shared" si="0"/>
        <v>99.879518072289144</v>
      </c>
      <c r="I22" s="179">
        <f t="shared" si="1"/>
        <v>4.0000000000006253E-2</v>
      </c>
    </row>
    <row r="23" spans="1:9" ht="30.75" customHeight="1" x14ac:dyDescent="0.25">
      <c r="A23" s="15" t="s">
        <v>217</v>
      </c>
      <c r="B23" s="13" t="s">
        <v>38</v>
      </c>
      <c r="C23" s="12"/>
      <c r="D23" s="8">
        <f>D24</f>
        <v>33.200000000000003</v>
      </c>
      <c r="E23" s="40">
        <f t="shared" si="3"/>
        <v>0</v>
      </c>
      <c r="F23" s="168">
        <f>F24</f>
        <v>33.200000000000003</v>
      </c>
      <c r="G23" s="168">
        <f>G24</f>
        <v>33.159999999999997</v>
      </c>
      <c r="H23" s="178">
        <f t="shared" si="0"/>
        <v>99.879518072289144</v>
      </c>
      <c r="I23" s="179">
        <f t="shared" si="1"/>
        <v>4.0000000000006253E-2</v>
      </c>
    </row>
    <row r="24" spans="1:9" ht="31.5" x14ac:dyDescent="0.25">
      <c r="A24" s="15" t="s">
        <v>61</v>
      </c>
      <c r="B24" s="13" t="s">
        <v>38</v>
      </c>
      <c r="C24" s="12">
        <v>200</v>
      </c>
      <c r="D24" s="8">
        <f>D25</f>
        <v>33.200000000000003</v>
      </c>
      <c r="E24" s="40">
        <f t="shared" si="3"/>
        <v>0</v>
      </c>
      <c r="F24" s="168">
        <f>F25</f>
        <v>33.200000000000003</v>
      </c>
      <c r="G24" s="168">
        <f>G25</f>
        <v>33.159999999999997</v>
      </c>
      <c r="H24" s="178">
        <f t="shared" si="0"/>
        <v>99.879518072289144</v>
      </c>
      <c r="I24" s="179">
        <f t="shared" si="1"/>
        <v>4.0000000000006253E-2</v>
      </c>
    </row>
    <row r="25" spans="1:9" ht="31.5" x14ac:dyDescent="0.25">
      <c r="A25" s="15" t="s">
        <v>62</v>
      </c>
      <c r="B25" s="13" t="s">
        <v>38</v>
      </c>
      <c r="C25" s="12">
        <v>240</v>
      </c>
      <c r="D25" s="8">
        <v>33.200000000000003</v>
      </c>
      <c r="E25" s="40">
        <f t="shared" si="3"/>
        <v>0</v>
      </c>
      <c r="F25" s="168">
        <v>33.200000000000003</v>
      </c>
      <c r="G25" s="168">
        <v>33.159999999999997</v>
      </c>
      <c r="H25" s="178">
        <f t="shared" si="0"/>
        <v>99.879518072289144</v>
      </c>
      <c r="I25" s="179">
        <f t="shared" si="1"/>
        <v>4.0000000000006253E-2</v>
      </c>
    </row>
    <row r="26" spans="1:9" ht="15.75" x14ac:dyDescent="0.25">
      <c r="A26" s="49" t="s">
        <v>94</v>
      </c>
      <c r="B26" s="50" t="s">
        <v>31</v>
      </c>
      <c r="C26" s="51"/>
      <c r="D26" s="55">
        <f>D27+D32</f>
        <v>1647.7</v>
      </c>
      <c r="E26" s="55">
        <f t="shared" si="3"/>
        <v>-166.60000000000014</v>
      </c>
      <c r="F26" s="170">
        <f>F27+F32</f>
        <v>1481.1</v>
      </c>
      <c r="G26" s="170">
        <f>G27+G32</f>
        <v>1430.55</v>
      </c>
      <c r="H26" s="223">
        <f t="shared" si="0"/>
        <v>96.586996151509013</v>
      </c>
      <c r="I26" s="224">
        <f t="shared" si="1"/>
        <v>50.549999999999955</v>
      </c>
    </row>
    <row r="27" spans="1:9" ht="63" x14ac:dyDescent="0.25">
      <c r="A27" s="15" t="s">
        <v>48</v>
      </c>
      <c r="B27" s="13" t="s">
        <v>32</v>
      </c>
      <c r="C27" s="12"/>
      <c r="D27" s="28">
        <v>1636.7</v>
      </c>
      <c r="E27" s="40">
        <f t="shared" si="3"/>
        <v>-166.60000000000014</v>
      </c>
      <c r="F27" s="171">
        <f>F28+F30</f>
        <v>1470.1</v>
      </c>
      <c r="G27" s="171">
        <f>G28+G30</f>
        <v>1419.55</v>
      </c>
      <c r="H27" s="178">
        <f t="shared" si="0"/>
        <v>96.561458404190191</v>
      </c>
      <c r="I27" s="179">
        <f t="shared" si="1"/>
        <v>50.549999999999955</v>
      </c>
    </row>
    <row r="28" spans="1:9" ht="63" x14ac:dyDescent="0.25">
      <c r="A28" s="15" t="s">
        <v>57</v>
      </c>
      <c r="B28" s="13" t="s">
        <v>32</v>
      </c>
      <c r="C28" s="12">
        <v>100</v>
      </c>
      <c r="D28" s="28">
        <f>D29</f>
        <v>1248.5</v>
      </c>
      <c r="E28" s="40">
        <f t="shared" si="3"/>
        <v>-171.90000000000009</v>
      </c>
      <c r="F28" s="171">
        <f>F29</f>
        <v>1076.5999999999999</v>
      </c>
      <c r="G28" s="171">
        <f>G29</f>
        <v>1057.28</v>
      </c>
      <c r="H28" s="178">
        <f t="shared" si="0"/>
        <v>98.205461638491556</v>
      </c>
      <c r="I28" s="179">
        <f t="shared" si="1"/>
        <v>19.319999999999936</v>
      </c>
    </row>
    <row r="29" spans="1:9" ht="15.75" x14ac:dyDescent="0.25">
      <c r="A29" s="15" t="s">
        <v>80</v>
      </c>
      <c r="B29" s="13" t="s">
        <v>32</v>
      </c>
      <c r="C29" s="12">
        <v>110</v>
      </c>
      <c r="D29" s="8">
        <v>1248.5</v>
      </c>
      <c r="E29" s="40">
        <f t="shared" si="3"/>
        <v>-171.90000000000009</v>
      </c>
      <c r="F29" s="168">
        <v>1076.5999999999999</v>
      </c>
      <c r="G29" s="168">
        <v>1057.28</v>
      </c>
      <c r="H29" s="178">
        <f t="shared" si="0"/>
        <v>98.205461638491556</v>
      </c>
      <c r="I29" s="179">
        <f t="shared" si="1"/>
        <v>19.319999999999936</v>
      </c>
    </row>
    <row r="30" spans="1:9" ht="31.5" x14ac:dyDescent="0.25">
      <c r="A30" s="15" t="s">
        <v>61</v>
      </c>
      <c r="B30" s="13" t="s">
        <v>32</v>
      </c>
      <c r="C30" s="12">
        <v>200</v>
      </c>
      <c r="D30" s="42">
        <f>D31</f>
        <v>388.2</v>
      </c>
      <c r="E30" s="40">
        <f t="shared" si="3"/>
        <v>5.3000000000000114</v>
      </c>
      <c r="F30" s="171">
        <f>F31</f>
        <v>393.5</v>
      </c>
      <c r="G30" s="171">
        <f>G31</f>
        <v>362.27</v>
      </c>
      <c r="H30" s="178">
        <f t="shared" si="0"/>
        <v>92.063532401524768</v>
      </c>
      <c r="I30" s="179">
        <f t="shared" si="1"/>
        <v>31.230000000000018</v>
      </c>
    </row>
    <row r="31" spans="1:9" ht="31.5" x14ac:dyDescent="0.25">
      <c r="A31" s="15" t="s">
        <v>62</v>
      </c>
      <c r="B31" s="13" t="s">
        <v>32</v>
      </c>
      <c r="C31" s="12">
        <v>240</v>
      </c>
      <c r="D31" s="42">
        <v>388.2</v>
      </c>
      <c r="E31" s="40">
        <f t="shared" si="3"/>
        <v>5.3000000000000114</v>
      </c>
      <c r="F31" s="171">
        <v>393.5</v>
      </c>
      <c r="G31" s="171">
        <v>362.27</v>
      </c>
      <c r="H31" s="178">
        <f t="shared" si="0"/>
        <v>92.063532401524768</v>
      </c>
      <c r="I31" s="179">
        <f t="shared" si="1"/>
        <v>31.230000000000018</v>
      </c>
    </row>
    <row r="32" spans="1:9" ht="31.5" x14ac:dyDescent="0.25">
      <c r="A32" s="15" t="s">
        <v>49</v>
      </c>
      <c r="B32" s="13" t="s">
        <v>33</v>
      </c>
      <c r="C32" s="12"/>
      <c r="D32" s="8">
        <f>D33</f>
        <v>11</v>
      </c>
      <c r="E32" s="40">
        <f t="shared" si="3"/>
        <v>0</v>
      </c>
      <c r="F32" s="168">
        <f>F33</f>
        <v>11</v>
      </c>
      <c r="G32" s="168">
        <f>G33</f>
        <v>11</v>
      </c>
      <c r="H32" s="178">
        <f t="shared" si="0"/>
        <v>100</v>
      </c>
      <c r="I32" s="179">
        <f t="shared" si="1"/>
        <v>0</v>
      </c>
    </row>
    <row r="33" spans="1:9" ht="31.5" x14ac:dyDescent="0.25">
      <c r="A33" s="15" t="s">
        <v>61</v>
      </c>
      <c r="B33" s="13" t="s">
        <v>33</v>
      </c>
      <c r="C33" s="12">
        <v>200</v>
      </c>
      <c r="D33" s="8">
        <f>D34</f>
        <v>11</v>
      </c>
      <c r="E33" s="40">
        <f t="shared" si="3"/>
        <v>0</v>
      </c>
      <c r="F33" s="168">
        <f>F34</f>
        <v>11</v>
      </c>
      <c r="G33" s="168">
        <f>G34</f>
        <v>11</v>
      </c>
      <c r="H33" s="178">
        <f t="shared" si="0"/>
        <v>100</v>
      </c>
      <c r="I33" s="179">
        <f t="shared" si="1"/>
        <v>0</v>
      </c>
    </row>
    <row r="34" spans="1:9" ht="31.5" x14ac:dyDescent="0.25">
      <c r="A34" s="15" t="s">
        <v>62</v>
      </c>
      <c r="B34" s="13" t="s">
        <v>33</v>
      </c>
      <c r="C34" s="12">
        <v>240</v>
      </c>
      <c r="D34" s="8">
        <v>11</v>
      </c>
      <c r="E34" s="40">
        <f t="shared" si="3"/>
        <v>0</v>
      </c>
      <c r="F34" s="168">
        <v>11</v>
      </c>
      <c r="G34" s="168">
        <v>11</v>
      </c>
      <c r="H34" s="178">
        <f t="shared" si="0"/>
        <v>100</v>
      </c>
      <c r="I34" s="179">
        <f t="shared" si="1"/>
        <v>0</v>
      </c>
    </row>
    <row r="35" spans="1:9" ht="31.5" x14ac:dyDescent="0.25">
      <c r="A35" s="49" t="s">
        <v>95</v>
      </c>
      <c r="B35" s="50" t="s">
        <v>34</v>
      </c>
      <c r="C35" s="51"/>
      <c r="D35" s="52">
        <f>D36+D41</f>
        <v>627.9</v>
      </c>
      <c r="E35" s="55">
        <f t="shared" si="3"/>
        <v>-62.370000000000005</v>
      </c>
      <c r="F35" s="169">
        <f>F36+F41</f>
        <v>565.53</v>
      </c>
      <c r="G35" s="169">
        <f>G36+G41</f>
        <v>549.54999999999995</v>
      </c>
      <c r="H35" s="223">
        <f t="shared" si="0"/>
        <v>97.174332042508794</v>
      </c>
      <c r="I35" s="224">
        <f t="shared" si="1"/>
        <v>15.980000000000018</v>
      </c>
    </row>
    <row r="36" spans="1:9" ht="63" x14ac:dyDescent="0.25">
      <c r="A36" s="15" t="s">
        <v>48</v>
      </c>
      <c r="B36" s="13" t="s">
        <v>35</v>
      </c>
      <c r="C36" s="12"/>
      <c r="D36" s="8">
        <f>D37+D39</f>
        <v>483.9</v>
      </c>
      <c r="E36" s="40">
        <f t="shared" si="3"/>
        <v>-248.76999999999998</v>
      </c>
      <c r="F36" s="168">
        <f>F37+F39</f>
        <v>235.13</v>
      </c>
      <c r="G36" s="168">
        <f>G37+G39</f>
        <v>232.76999999999998</v>
      </c>
      <c r="H36" s="178">
        <f t="shared" si="0"/>
        <v>98.996299919193632</v>
      </c>
      <c r="I36" s="179">
        <f t="shared" si="1"/>
        <v>2.3600000000000136</v>
      </c>
    </row>
    <row r="37" spans="1:9" ht="63" x14ac:dyDescent="0.25">
      <c r="A37" s="15" t="s">
        <v>57</v>
      </c>
      <c r="B37" s="13" t="s">
        <v>35</v>
      </c>
      <c r="C37" s="12">
        <v>100</v>
      </c>
      <c r="D37" s="8">
        <f>D38</f>
        <v>482.9</v>
      </c>
      <c r="E37" s="40">
        <f t="shared" si="3"/>
        <v>-273.77</v>
      </c>
      <c r="F37" s="168">
        <f>F38</f>
        <v>209.13</v>
      </c>
      <c r="G37" s="168">
        <f>G38</f>
        <v>209.13</v>
      </c>
      <c r="H37" s="178">
        <f t="shared" si="0"/>
        <v>100</v>
      </c>
      <c r="I37" s="179">
        <f t="shared" si="1"/>
        <v>0</v>
      </c>
    </row>
    <row r="38" spans="1:9" ht="15.75" x14ac:dyDescent="0.25">
      <c r="A38" s="15" t="s">
        <v>80</v>
      </c>
      <c r="B38" s="13" t="s">
        <v>35</v>
      </c>
      <c r="C38" s="12">
        <v>110</v>
      </c>
      <c r="D38" s="8">
        <v>482.9</v>
      </c>
      <c r="E38" s="40">
        <f t="shared" si="3"/>
        <v>-273.77</v>
      </c>
      <c r="F38" s="168">
        <v>209.13</v>
      </c>
      <c r="G38" s="168">
        <v>209.13</v>
      </c>
      <c r="H38" s="178">
        <f t="shared" si="0"/>
        <v>100</v>
      </c>
      <c r="I38" s="179">
        <f t="shared" si="1"/>
        <v>0</v>
      </c>
    </row>
    <row r="39" spans="1:9" ht="31.5" x14ac:dyDescent="0.25">
      <c r="A39" s="15" t="s">
        <v>234</v>
      </c>
      <c r="B39" s="13" t="s">
        <v>35</v>
      </c>
      <c r="C39" s="12">
        <v>200</v>
      </c>
      <c r="D39" s="8">
        <v>1</v>
      </c>
      <c r="E39" s="40">
        <f>E40</f>
        <v>25</v>
      </c>
      <c r="F39" s="168">
        <f>F40</f>
        <v>26</v>
      </c>
      <c r="G39" s="168">
        <f>G40</f>
        <v>23.64</v>
      </c>
      <c r="H39" s="178">
        <f t="shared" si="0"/>
        <v>90.923076923076934</v>
      </c>
      <c r="I39" s="179">
        <f t="shared" si="1"/>
        <v>2.3599999999999994</v>
      </c>
    </row>
    <row r="40" spans="1:9" ht="31.5" x14ac:dyDescent="0.25">
      <c r="A40" s="15" t="s">
        <v>247</v>
      </c>
      <c r="B40" s="13" t="s">
        <v>35</v>
      </c>
      <c r="C40" s="12">
        <v>240</v>
      </c>
      <c r="D40" s="8">
        <v>1</v>
      </c>
      <c r="E40" s="40">
        <f>F40-D40</f>
        <v>25</v>
      </c>
      <c r="F40" s="168">
        <v>26</v>
      </c>
      <c r="G40" s="168">
        <v>23.64</v>
      </c>
      <c r="H40" s="178">
        <f t="shared" si="0"/>
        <v>90.923076923076934</v>
      </c>
      <c r="I40" s="179">
        <f t="shared" si="1"/>
        <v>2.3599999999999994</v>
      </c>
    </row>
    <row r="41" spans="1:9" ht="31.5" x14ac:dyDescent="0.25">
      <c r="A41" s="15" t="s">
        <v>96</v>
      </c>
      <c r="B41" s="13" t="s">
        <v>36</v>
      </c>
      <c r="C41" s="12"/>
      <c r="D41" s="8">
        <f>D42</f>
        <v>144</v>
      </c>
      <c r="E41" s="40">
        <f t="shared" si="3"/>
        <v>186.39999999999998</v>
      </c>
      <c r="F41" s="168">
        <f>F42</f>
        <v>330.4</v>
      </c>
      <c r="G41" s="168">
        <f>G42</f>
        <v>316.77999999999997</v>
      </c>
      <c r="H41" s="178">
        <f t="shared" si="0"/>
        <v>95.877723970944302</v>
      </c>
      <c r="I41" s="179">
        <f t="shared" si="1"/>
        <v>13.620000000000005</v>
      </c>
    </row>
    <row r="42" spans="1:9" ht="31.5" x14ac:dyDescent="0.25">
      <c r="A42" s="15" t="s">
        <v>61</v>
      </c>
      <c r="B42" s="13" t="s">
        <v>36</v>
      </c>
      <c r="C42" s="12">
        <v>200</v>
      </c>
      <c r="D42" s="8">
        <f>D43</f>
        <v>144</v>
      </c>
      <c r="E42" s="40">
        <f t="shared" si="3"/>
        <v>186.39999999999998</v>
      </c>
      <c r="F42" s="168">
        <f>F43</f>
        <v>330.4</v>
      </c>
      <c r="G42" s="168">
        <f>G43</f>
        <v>316.77999999999997</v>
      </c>
      <c r="H42" s="178">
        <f t="shared" si="0"/>
        <v>95.877723970944302</v>
      </c>
      <c r="I42" s="179">
        <f t="shared" si="1"/>
        <v>13.620000000000005</v>
      </c>
    </row>
    <row r="43" spans="1:9" ht="31.5" x14ac:dyDescent="0.25">
      <c r="A43" s="15" t="s">
        <v>62</v>
      </c>
      <c r="B43" s="13" t="s">
        <v>36</v>
      </c>
      <c r="C43" s="12">
        <v>240</v>
      </c>
      <c r="D43" s="8">
        <v>144</v>
      </c>
      <c r="E43" s="40">
        <f t="shared" si="3"/>
        <v>186.39999999999998</v>
      </c>
      <c r="F43" s="168">
        <v>330.4</v>
      </c>
      <c r="G43" s="168">
        <v>316.77999999999997</v>
      </c>
      <c r="H43" s="178">
        <f t="shared" si="0"/>
        <v>95.877723970944302</v>
      </c>
      <c r="I43" s="179">
        <f t="shared" si="1"/>
        <v>13.620000000000005</v>
      </c>
    </row>
    <row r="44" spans="1:9" ht="47.25" x14ac:dyDescent="0.25">
      <c r="A44" s="43" t="s">
        <v>97</v>
      </c>
      <c r="B44" s="44" t="s">
        <v>113</v>
      </c>
      <c r="C44" s="48"/>
      <c r="D44" s="46">
        <f>D45</f>
        <v>3842.1000000000004</v>
      </c>
      <c r="E44" s="47">
        <f t="shared" si="3"/>
        <v>490.63000000000011</v>
      </c>
      <c r="F44" s="167">
        <f>F45</f>
        <v>4332.7300000000005</v>
      </c>
      <c r="G44" s="167">
        <f>G45</f>
        <v>4270.8599999999997</v>
      </c>
      <c r="H44" s="221">
        <f t="shared" si="0"/>
        <v>98.572031952141018</v>
      </c>
      <c r="I44" s="222">
        <f t="shared" si="1"/>
        <v>61.8700000000008</v>
      </c>
    </row>
    <row r="45" spans="1:9" ht="31.5" x14ac:dyDescent="0.25">
      <c r="A45" s="49" t="s">
        <v>98</v>
      </c>
      <c r="B45" s="50" t="s">
        <v>114</v>
      </c>
      <c r="C45" s="53"/>
      <c r="D45" s="52">
        <f>D46+D54</f>
        <v>3842.1000000000004</v>
      </c>
      <c r="E45" s="55">
        <f t="shared" si="3"/>
        <v>490.63000000000011</v>
      </c>
      <c r="F45" s="169">
        <f>F46+F54</f>
        <v>4332.7300000000005</v>
      </c>
      <c r="G45" s="169">
        <f>G46+G54</f>
        <v>4270.8599999999997</v>
      </c>
      <c r="H45" s="223">
        <f t="shared" si="0"/>
        <v>98.572031952141018</v>
      </c>
      <c r="I45" s="224">
        <f t="shared" si="1"/>
        <v>61.8700000000008</v>
      </c>
    </row>
    <row r="46" spans="1:9" ht="63" x14ac:dyDescent="0.25">
      <c r="A46" s="15" t="s">
        <v>48</v>
      </c>
      <c r="B46" s="13" t="s">
        <v>115</v>
      </c>
      <c r="C46" s="12"/>
      <c r="D46" s="8">
        <f>D47+D50+D52</f>
        <v>3702.1000000000004</v>
      </c>
      <c r="E46" s="40">
        <f t="shared" si="3"/>
        <v>294.63000000000011</v>
      </c>
      <c r="F46" s="168">
        <f>F47+F50+F52</f>
        <v>3996.7300000000005</v>
      </c>
      <c r="G46" s="168">
        <f>G47+G50+G52</f>
        <v>3935.02</v>
      </c>
      <c r="H46" s="178">
        <f t="shared" si="0"/>
        <v>98.455987770001968</v>
      </c>
      <c r="I46" s="179">
        <f t="shared" si="1"/>
        <v>61.710000000000491</v>
      </c>
    </row>
    <row r="47" spans="1:9" ht="63" x14ac:dyDescent="0.25">
      <c r="A47" s="15" t="s">
        <v>57</v>
      </c>
      <c r="B47" s="13" t="s">
        <v>115</v>
      </c>
      <c r="C47" s="12">
        <v>100</v>
      </c>
      <c r="D47" s="8">
        <f>D48+D49</f>
        <v>3525.2000000000003</v>
      </c>
      <c r="E47" s="40">
        <f t="shared" si="3"/>
        <v>230.73000000000002</v>
      </c>
      <c r="F47" s="168">
        <f>F48+F49</f>
        <v>3755.9300000000003</v>
      </c>
      <c r="G47" s="168">
        <f>G48+G49</f>
        <v>3729.38</v>
      </c>
      <c r="H47" s="178">
        <f t="shared" si="0"/>
        <v>99.293117816359725</v>
      </c>
      <c r="I47" s="179">
        <f t="shared" si="1"/>
        <v>26.550000000000182</v>
      </c>
    </row>
    <row r="48" spans="1:9" ht="15.75" x14ac:dyDescent="0.25">
      <c r="A48" s="15" t="s">
        <v>80</v>
      </c>
      <c r="B48" s="13" t="s">
        <v>115</v>
      </c>
      <c r="C48" s="12">
        <v>110</v>
      </c>
      <c r="D48" s="8">
        <v>3520.9</v>
      </c>
      <c r="E48" s="40">
        <f t="shared" si="3"/>
        <v>235.01999999999998</v>
      </c>
      <c r="F48" s="168">
        <v>3755.92</v>
      </c>
      <c r="G48" s="168">
        <v>3729.37</v>
      </c>
      <c r="H48" s="178">
        <f t="shared" si="0"/>
        <v>99.293115934311686</v>
      </c>
      <c r="I48" s="179">
        <f t="shared" si="1"/>
        <v>26.550000000000182</v>
      </c>
    </row>
    <row r="49" spans="1:9" ht="31.5" x14ac:dyDescent="0.25">
      <c r="A49" s="15" t="s">
        <v>50</v>
      </c>
      <c r="B49" s="13" t="s">
        <v>115</v>
      </c>
      <c r="C49" s="12">
        <v>120</v>
      </c>
      <c r="D49" s="8">
        <v>4.3</v>
      </c>
      <c r="E49" s="40">
        <f t="shared" si="3"/>
        <v>-4.29</v>
      </c>
      <c r="F49" s="168">
        <v>0.01</v>
      </c>
      <c r="G49" s="168">
        <v>0.01</v>
      </c>
      <c r="H49" s="178">
        <f t="shared" si="0"/>
        <v>100</v>
      </c>
      <c r="I49" s="179">
        <f t="shared" si="1"/>
        <v>0</v>
      </c>
    </row>
    <row r="50" spans="1:9" ht="31.5" x14ac:dyDescent="0.25">
      <c r="A50" s="15" t="s">
        <v>61</v>
      </c>
      <c r="B50" s="13" t="s">
        <v>115</v>
      </c>
      <c r="C50" s="12">
        <v>200</v>
      </c>
      <c r="D50" s="42">
        <f>D51</f>
        <v>174.9</v>
      </c>
      <c r="E50" s="40">
        <f t="shared" si="3"/>
        <v>56.900000000000006</v>
      </c>
      <c r="F50" s="171">
        <f>F51</f>
        <v>231.8</v>
      </c>
      <c r="G50" s="171">
        <f>G51</f>
        <v>201.69</v>
      </c>
      <c r="H50" s="178">
        <f t="shared" si="0"/>
        <v>87.010353753235549</v>
      </c>
      <c r="I50" s="179">
        <f t="shared" si="1"/>
        <v>30.110000000000014</v>
      </c>
    </row>
    <row r="51" spans="1:9" ht="31.5" x14ac:dyDescent="0.25">
      <c r="A51" s="15" t="s">
        <v>62</v>
      </c>
      <c r="B51" s="13" t="s">
        <v>115</v>
      </c>
      <c r="C51" s="12">
        <v>240</v>
      </c>
      <c r="D51" s="42">
        <v>174.9</v>
      </c>
      <c r="E51" s="40">
        <f t="shared" si="3"/>
        <v>56.900000000000006</v>
      </c>
      <c r="F51" s="171">
        <v>231.8</v>
      </c>
      <c r="G51" s="171">
        <v>201.69</v>
      </c>
      <c r="H51" s="178">
        <f t="shared" si="0"/>
        <v>87.010353753235549</v>
      </c>
      <c r="I51" s="179">
        <f t="shared" si="1"/>
        <v>30.110000000000014</v>
      </c>
    </row>
    <row r="52" spans="1:9" ht="15.75" x14ac:dyDescent="0.25">
      <c r="A52" s="15" t="s">
        <v>51</v>
      </c>
      <c r="B52" s="13" t="s">
        <v>115</v>
      </c>
      <c r="C52" s="12">
        <v>800</v>
      </c>
      <c r="D52" s="8">
        <f>D53</f>
        <v>2</v>
      </c>
      <c r="E52" s="40">
        <f t="shared" si="3"/>
        <v>7</v>
      </c>
      <c r="F52" s="168">
        <f>F53</f>
        <v>9</v>
      </c>
      <c r="G52" s="168">
        <f>G53</f>
        <v>3.95</v>
      </c>
      <c r="H52" s="178">
        <f t="shared" si="0"/>
        <v>43.888888888888886</v>
      </c>
      <c r="I52" s="179">
        <f t="shared" si="1"/>
        <v>5.05</v>
      </c>
    </row>
    <row r="53" spans="1:9" ht="15.75" x14ac:dyDescent="0.25">
      <c r="A53" s="15" t="s">
        <v>52</v>
      </c>
      <c r="B53" s="13" t="s">
        <v>115</v>
      </c>
      <c r="C53" s="12">
        <v>850</v>
      </c>
      <c r="D53" s="8">
        <v>2</v>
      </c>
      <c r="E53" s="40">
        <f t="shared" si="3"/>
        <v>7</v>
      </c>
      <c r="F53" s="168">
        <v>9</v>
      </c>
      <c r="G53" s="168">
        <v>3.95</v>
      </c>
      <c r="H53" s="178">
        <f t="shared" si="0"/>
        <v>43.888888888888886</v>
      </c>
      <c r="I53" s="179">
        <f t="shared" si="1"/>
        <v>5.05</v>
      </c>
    </row>
    <row r="54" spans="1:9" ht="47.25" x14ac:dyDescent="0.25">
      <c r="A54" s="15" t="s">
        <v>99</v>
      </c>
      <c r="B54" s="13" t="s">
        <v>116</v>
      </c>
      <c r="C54" s="12"/>
      <c r="D54" s="8">
        <f>D55</f>
        <v>140</v>
      </c>
      <c r="E54" s="40">
        <f t="shared" si="3"/>
        <v>196</v>
      </c>
      <c r="F54" s="168">
        <f>F55</f>
        <v>336</v>
      </c>
      <c r="G54" s="168">
        <f>G55</f>
        <v>335.84</v>
      </c>
      <c r="H54" s="178">
        <f t="shared" si="0"/>
        <v>99.952380952380949</v>
      </c>
      <c r="I54" s="179">
        <f t="shared" si="1"/>
        <v>0.16000000000002501</v>
      </c>
    </row>
    <row r="55" spans="1:9" ht="31.5" x14ac:dyDescent="0.25">
      <c r="A55" s="15" t="s">
        <v>61</v>
      </c>
      <c r="B55" s="13" t="s">
        <v>116</v>
      </c>
      <c r="C55" s="12">
        <v>200</v>
      </c>
      <c r="D55" s="8">
        <f>D56</f>
        <v>140</v>
      </c>
      <c r="E55" s="40">
        <f t="shared" si="3"/>
        <v>196</v>
      </c>
      <c r="F55" s="168">
        <f>F56</f>
        <v>336</v>
      </c>
      <c r="G55" s="168">
        <f>G56</f>
        <v>335.84</v>
      </c>
      <c r="H55" s="178">
        <f t="shared" si="0"/>
        <v>99.952380952380949</v>
      </c>
      <c r="I55" s="179">
        <f t="shared" si="1"/>
        <v>0.16000000000002501</v>
      </c>
    </row>
    <row r="56" spans="1:9" ht="31.5" x14ac:dyDescent="0.25">
      <c r="A56" s="15" t="s">
        <v>62</v>
      </c>
      <c r="B56" s="13" t="s">
        <v>116</v>
      </c>
      <c r="C56" s="12">
        <v>240</v>
      </c>
      <c r="D56" s="8">
        <v>140</v>
      </c>
      <c r="E56" s="40">
        <f t="shared" si="3"/>
        <v>196</v>
      </c>
      <c r="F56" s="168">
        <v>336</v>
      </c>
      <c r="G56" s="168">
        <v>335.84</v>
      </c>
      <c r="H56" s="178">
        <f t="shared" si="0"/>
        <v>99.952380952380949</v>
      </c>
      <c r="I56" s="179">
        <f t="shared" si="1"/>
        <v>0.16000000000002501</v>
      </c>
    </row>
    <row r="57" spans="1:9" ht="29.25" customHeight="1" x14ac:dyDescent="0.25">
      <c r="A57" s="108" t="s">
        <v>255</v>
      </c>
      <c r="B57" s="109" t="s">
        <v>248</v>
      </c>
      <c r="C57" s="110"/>
      <c r="D57" s="111" t="e">
        <f>D58</f>
        <v>#REF!</v>
      </c>
      <c r="E57" s="47" t="e">
        <f>E58</f>
        <v>#REF!</v>
      </c>
      <c r="F57" s="172">
        <f>F58</f>
        <v>74.95</v>
      </c>
      <c r="G57" s="172">
        <f>G58</f>
        <v>74.95</v>
      </c>
      <c r="H57" s="221">
        <f t="shared" si="0"/>
        <v>100</v>
      </c>
      <c r="I57" s="222">
        <f t="shared" si="1"/>
        <v>0</v>
      </c>
    </row>
    <row r="58" spans="1:9" ht="15.75" x14ac:dyDescent="0.25">
      <c r="A58" s="104" t="s">
        <v>256</v>
      </c>
      <c r="B58" s="105" t="s">
        <v>248</v>
      </c>
      <c r="C58" s="106"/>
      <c r="D58" s="107" t="e">
        <f>#REF!+D60</f>
        <v>#REF!</v>
      </c>
      <c r="E58" s="55" t="e">
        <f>F58-D58</f>
        <v>#REF!</v>
      </c>
      <c r="F58" s="173">
        <f>+F59</f>
        <v>74.95</v>
      </c>
      <c r="G58" s="173">
        <f>G59</f>
        <v>74.95</v>
      </c>
      <c r="H58" s="223">
        <f t="shared" si="0"/>
        <v>100</v>
      </c>
      <c r="I58" s="224">
        <f t="shared" si="1"/>
        <v>0</v>
      </c>
    </row>
    <row r="59" spans="1:9" ht="76.5" customHeight="1" x14ac:dyDescent="0.25">
      <c r="A59" s="15" t="s">
        <v>258</v>
      </c>
      <c r="B59" s="13" t="s">
        <v>249</v>
      </c>
      <c r="C59" s="12"/>
      <c r="D59" s="8">
        <f>D60</f>
        <v>76</v>
      </c>
      <c r="E59" s="40">
        <f>F59-D59</f>
        <v>-1.0499999999999972</v>
      </c>
      <c r="F59" s="168">
        <f>F60</f>
        <v>74.95</v>
      </c>
      <c r="G59" s="168">
        <f>G60</f>
        <v>74.95</v>
      </c>
      <c r="H59" s="178">
        <f t="shared" si="0"/>
        <v>100</v>
      </c>
      <c r="I59" s="179">
        <f t="shared" si="1"/>
        <v>0</v>
      </c>
    </row>
    <row r="60" spans="1:9" ht="63" x14ac:dyDescent="0.25">
      <c r="A60" s="15" t="s">
        <v>237</v>
      </c>
      <c r="B60" s="13" t="s">
        <v>249</v>
      </c>
      <c r="C60" s="12">
        <v>100</v>
      </c>
      <c r="D60" s="8">
        <f>D61</f>
        <v>76</v>
      </c>
      <c r="E60" s="40">
        <f>E61</f>
        <v>-1.0499999999999972</v>
      </c>
      <c r="F60" s="168">
        <f>F61</f>
        <v>74.95</v>
      </c>
      <c r="G60" s="168">
        <f>G61</f>
        <v>74.95</v>
      </c>
      <c r="H60" s="178">
        <f t="shared" si="0"/>
        <v>100</v>
      </c>
      <c r="I60" s="179">
        <f t="shared" si="1"/>
        <v>0</v>
      </c>
    </row>
    <row r="61" spans="1:9" ht="15.75" x14ac:dyDescent="0.25">
      <c r="A61" s="15" t="s">
        <v>257</v>
      </c>
      <c r="B61" s="13" t="s">
        <v>249</v>
      </c>
      <c r="C61" s="12">
        <v>110</v>
      </c>
      <c r="D61" s="8">
        <v>76</v>
      </c>
      <c r="E61" s="40">
        <f>F61-D61</f>
        <v>-1.0499999999999972</v>
      </c>
      <c r="F61" s="168">
        <v>74.95</v>
      </c>
      <c r="G61" s="168">
        <v>74.95</v>
      </c>
      <c r="H61" s="178">
        <f t="shared" si="0"/>
        <v>100</v>
      </c>
      <c r="I61" s="179">
        <f t="shared" si="1"/>
        <v>0</v>
      </c>
    </row>
    <row r="62" spans="1:9" ht="63" x14ac:dyDescent="0.25">
      <c r="A62" s="43" t="s">
        <v>87</v>
      </c>
      <c r="B62" s="45">
        <v>1200000</v>
      </c>
      <c r="C62" s="45"/>
      <c r="D62" s="46">
        <f>D69+D75+D79+D63</f>
        <v>1328.3</v>
      </c>
      <c r="E62" s="47">
        <f t="shared" si="3"/>
        <v>246.25</v>
      </c>
      <c r="F62" s="167">
        <f>F69+F75+F79+F63</f>
        <v>1574.55</v>
      </c>
      <c r="G62" s="167">
        <f>G69+G75+G79+G63</f>
        <v>1505.15</v>
      </c>
      <c r="H62" s="221">
        <f t="shared" si="0"/>
        <v>95.592391476929933</v>
      </c>
      <c r="I62" s="222">
        <f t="shared" si="1"/>
        <v>69.399999999999864</v>
      </c>
    </row>
    <row r="63" spans="1:9" ht="29.25" customHeight="1" x14ac:dyDescent="0.25">
      <c r="A63" s="119" t="s">
        <v>259</v>
      </c>
      <c r="B63" s="51">
        <v>1210000</v>
      </c>
      <c r="C63" s="51"/>
      <c r="D63" s="52">
        <f>D66+D68</f>
        <v>1006.6</v>
      </c>
      <c r="E63" s="55">
        <f>F63-D63</f>
        <v>-4.8500000000000227</v>
      </c>
      <c r="F63" s="169">
        <f>F66+F68</f>
        <v>1001.75</v>
      </c>
      <c r="G63" s="169">
        <f>G66+G68</f>
        <v>1001.69</v>
      </c>
      <c r="H63" s="223">
        <f t="shared" si="0"/>
        <v>99.994010481657099</v>
      </c>
      <c r="I63" s="224">
        <f t="shared" si="1"/>
        <v>5.999999999994543E-2</v>
      </c>
    </row>
    <row r="64" spans="1:9" ht="47.25" customHeight="1" x14ac:dyDescent="0.25">
      <c r="A64" s="16" t="s">
        <v>260</v>
      </c>
      <c r="B64" s="103">
        <v>1215641</v>
      </c>
      <c r="C64" s="103"/>
      <c r="D64" s="93">
        <f t="shared" ref="D64:G65" si="4">D65</f>
        <v>935.6</v>
      </c>
      <c r="E64" s="94">
        <f t="shared" si="4"/>
        <v>-4.8500000000000227</v>
      </c>
      <c r="F64" s="174">
        <f t="shared" si="4"/>
        <v>930.75</v>
      </c>
      <c r="G64" s="174">
        <f t="shared" si="4"/>
        <v>930.69</v>
      </c>
      <c r="H64" s="178">
        <f t="shared" si="0"/>
        <v>99.993553585817892</v>
      </c>
      <c r="I64" s="179">
        <f t="shared" si="1"/>
        <v>5.999999999994543E-2</v>
      </c>
    </row>
    <row r="65" spans="1:9" ht="36" customHeight="1" x14ac:dyDescent="0.25">
      <c r="A65" s="16" t="s">
        <v>234</v>
      </c>
      <c r="B65" s="103">
        <v>1215641</v>
      </c>
      <c r="C65" s="103">
        <v>200</v>
      </c>
      <c r="D65" s="93">
        <f t="shared" si="4"/>
        <v>935.6</v>
      </c>
      <c r="E65" s="94">
        <f t="shared" si="4"/>
        <v>-4.8500000000000227</v>
      </c>
      <c r="F65" s="174">
        <f t="shared" si="4"/>
        <v>930.75</v>
      </c>
      <c r="G65" s="174">
        <f t="shared" si="4"/>
        <v>930.69</v>
      </c>
      <c r="H65" s="178">
        <f t="shared" si="0"/>
        <v>99.993553585817892</v>
      </c>
      <c r="I65" s="179">
        <f t="shared" si="1"/>
        <v>5.999999999994543E-2</v>
      </c>
    </row>
    <row r="66" spans="1:9" ht="31.5" x14ac:dyDescent="0.25">
      <c r="A66" s="16" t="s">
        <v>218</v>
      </c>
      <c r="B66" s="103">
        <v>1215641</v>
      </c>
      <c r="C66" s="103">
        <v>240</v>
      </c>
      <c r="D66" s="93">
        <v>935.6</v>
      </c>
      <c r="E66" s="94">
        <f>F66-D66</f>
        <v>-4.8500000000000227</v>
      </c>
      <c r="F66" s="174">
        <v>930.75</v>
      </c>
      <c r="G66" s="174">
        <v>930.69</v>
      </c>
      <c r="H66" s="178">
        <f t="shared" si="0"/>
        <v>99.993553585817892</v>
      </c>
      <c r="I66" s="179">
        <f t="shared" si="1"/>
        <v>5.999999999994543E-2</v>
      </c>
    </row>
    <row r="67" spans="1:9" ht="31.5" x14ac:dyDescent="0.25">
      <c r="A67" s="16" t="s">
        <v>221</v>
      </c>
      <c r="B67" s="103">
        <v>1217060</v>
      </c>
      <c r="C67" s="103">
        <v>200</v>
      </c>
      <c r="D67" s="93">
        <f>D68</f>
        <v>71</v>
      </c>
      <c r="E67" s="94">
        <f>E68</f>
        <v>0</v>
      </c>
      <c r="F67" s="174">
        <f>F68</f>
        <v>71</v>
      </c>
      <c r="G67" s="174">
        <f>G68</f>
        <v>71</v>
      </c>
      <c r="H67" s="178">
        <f t="shared" si="0"/>
        <v>100</v>
      </c>
      <c r="I67" s="179">
        <f t="shared" si="1"/>
        <v>0</v>
      </c>
    </row>
    <row r="68" spans="1:9" ht="30" customHeight="1" x14ac:dyDescent="0.25">
      <c r="A68" s="16" t="s">
        <v>247</v>
      </c>
      <c r="B68" s="103">
        <v>1217060</v>
      </c>
      <c r="C68" s="103">
        <v>240</v>
      </c>
      <c r="D68" s="93">
        <v>71</v>
      </c>
      <c r="E68" s="94">
        <f>F68-D68</f>
        <v>0</v>
      </c>
      <c r="F68" s="174">
        <v>71</v>
      </c>
      <c r="G68" s="174">
        <v>71</v>
      </c>
      <c r="H68" s="178">
        <f t="shared" si="0"/>
        <v>100</v>
      </c>
      <c r="I68" s="179">
        <f t="shared" si="1"/>
        <v>0</v>
      </c>
    </row>
    <row r="69" spans="1:9" ht="31.5" x14ac:dyDescent="0.25">
      <c r="A69" s="49" t="s">
        <v>89</v>
      </c>
      <c r="B69" s="51">
        <v>1220000</v>
      </c>
      <c r="C69" s="51"/>
      <c r="D69" s="52">
        <f>D70+D73</f>
        <v>0</v>
      </c>
      <c r="E69" s="55">
        <f t="shared" si="3"/>
        <v>344.83</v>
      </c>
      <c r="F69" s="169">
        <f>F70+F73</f>
        <v>344.83</v>
      </c>
      <c r="G69" s="169">
        <f>G70+G73</f>
        <v>344.83</v>
      </c>
      <c r="H69" s="223">
        <f t="shared" ref="H69:H126" si="5">G69/F69*100</f>
        <v>100</v>
      </c>
      <c r="I69" s="224">
        <f t="shared" ref="I69:I126" si="6">F69-G69</f>
        <v>0</v>
      </c>
    </row>
    <row r="70" spans="1:9" ht="63" x14ac:dyDescent="0.25">
      <c r="A70" s="15" t="s">
        <v>90</v>
      </c>
      <c r="B70" s="12">
        <v>1222108</v>
      </c>
      <c r="C70" s="12"/>
      <c r="D70" s="8">
        <f>D71</f>
        <v>0</v>
      </c>
      <c r="E70" s="40">
        <f t="shared" si="3"/>
        <v>152.88</v>
      </c>
      <c r="F70" s="168">
        <f>F71</f>
        <v>152.88</v>
      </c>
      <c r="G70" s="168">
        <f>G71</f>
        <v>152.88</v>
      </c>
      <c r="H70" s="178">
        <f t="shared" si="5"/>
        <v>100</v>
      </c>
      <c r="I70" s="179">
        <f t="shared" si="6"/>
        <v>0</v>
      </c>
    </row>
    <row r="71" spans="1:9" ht="31.5" x14ac:dyDescent="0.25">
      <c r="A71" s="15" t="s">
        <v>61</v>
      </c>
      <c r="B71" s="12">
        <v>1222108</v>
      </c>
      <c r="C71" s="12">
        <v>200</v>
      </c>
      <c r="D71" s="8">
        <f>D72</f>
        <v>0</v>
      </c>
      <c r="E71" s="40">
        <f t="shared" si="3"/>
        <v>152.88</v>
      </c>
      <c r="F71" s="168">
        <f>F72</f>
        <v>152.88</v>
      </c>
      <c r="G71" s="168">
        <f>G72</f>
        <v>152.88</v>
      </c>
      <c r="H71" s="178">
        <f t="shared" si="5"/>
        <v>100</v>
      </c>
      <c r="I71" s="179">
        <f t="shared" si="6"/>
        <v>0</v>
      </c>
    </row>
    <row r="72" spans="1:9" ht="31.5" x14ac:dyDescent="0.25">
      <c r="A72" s="15" t="s">
        <v>62</v>
      </c>
      <c r="B72" s="12">
        <v>1222108</v>
      </c>
      <c r="C72" s="12">
        <v>240</v>
      </c>
      <c r="D72" s="8">
        <v>0</v>
      </c>
      <c r="E72" s="40">
        <f t="shared" si="3"/>
        <v>152.88</v>
      </c>
      <c r="F72" s="168">
        <v>152.88</v>
      </c>
      <c r="G72" s="168">
        <v>152.88</v>
      </c>
      <c r="H72" s="178">
        <f t="shared" si="5"/>
        <v>100</v>
      </c>
      <c r="I72" s="179">
        <f t="shared" si="6"/>
        <v>0</v>
      </c>
    </row>
    <row r="73" spans="1:9" ht="31.5" x14ac:dyDescent="0.25">
      <c r="A73" s="16" t="s">
        <v>278</v>
      </c>
      <c r="B73" s="12">
        <v>1222108</v>
      </c>
      <c r="C73" s="12">
        <v>600</v>
      </c>
      <c r="D73" s="8">
        <f>D74</f>
        <v>0</v>
      </c>
      <c r="E73" s="40">
        <f>E74</f>
        <v>191.95</v>
      </c>
      <c r="F73" s="168">
        <f>F74</f>
        <v>191.95</v>
      </c>
      <c r="G73" s="168">
        <f>G74</f>
        <v>191.95</v>
      </c>
      <c r="H73" s="178">
        <f t="shared" si="5"/>
        <v>100</v>
      </c>
      <c r="I73" s="179">
        <f t="shared" si="6"/>
        <v>0</v>
      </c>
    </row>
    <row r="74" spans="1:9" ht="31.5" x14ac:dyDescent="0.25">
      <c r="A74" s="16" t="s">
        <v>271</v>
      </c>
      <c r="B74" s="12">
        <v>1222108</v>
      </c>
      <c r="C74" s="12">
        <v>630</v>
      </c>
      <c r="D74" s="8">
        <v>0</v>
      </c>
      <c r="E74" s="40">
        <f>F74-D74</f>
        <v>191.95</v>
      </c>
      <c r="F74" s="168">
        <v>191.95</v>
      </c>
      <c r="G74" s="168">
        <v>191.95</v>
      </c>
      <c r="H74" s="178">
        <f t="shared" si="5"/>
        <v>100</v>
      </c>
      <c r="I74" s="179">
        <f t="shared" si="6"/>
        <v>0</v>
      </c>
    </row>
    <row r="75" spans="1:9" ht="31.5" x14ac:dyDescent="0.25">
      <c r="A75" s="49" t="s">
        <v>91</v>
      </c>
      <c r="B75" s="51">
        <v>1260000</v>
      </c>
      <c r="C75" s="51"/>
      <c r="D75" s="52">
        <f>D76</f>
        <v>46.3</v>
      </c>
      <c r="E75" s="55">
        <f t="shared" si="3"/>
        <v>-16.729999999999997</v>
      </c>
      <c r="F75" s="169">
        <f t="shared" ref="F75:G77" si="7">F76</f>
        <v>29.57</v>
      </c>
      <c r="G75" s="169">
        <f t="shared" si="7"/>
        <v>29.57</v>
      </c>
      <c r="H75" s="223">
        <f t="shared" si="5"/>
        <v>100</v>
      </c>
      <c r="I75" s="224">
        <f t="shared" si="6"/>
        <v>0</v>
      </c>
    </row>
    <row r="76" spans="1:9" ht="63" x14ac:dyDescent="0.25">
      <c r="A76" s="16" t="s">
        <v>90</v>
      </c>
      <c r="B76" s="101">
        <v>1262120</v>
      </c>
      <c r="C76" s="101"/>
      <c r="D76" s="100">
        <f>D77</f>
        <v>46.3</v>
      </c>
      <c r="E76" s="94">
        <f t="shared" si="3"/>
        <v>-16.729999999999997</v>
      </c>
      <c r="F76" s="142">
        <f t="shared" si="7"/>
        <v>29.57</v>
      </c>
      <c r="G76" s="142">
        <f t="shared" si="7"/>
        <v>29.57</v>
      </c>
      <c r="H76" s="178">
        <f t="shared" si="5"/>
        <v>100</v>
      </c>
      <c r="I76" s="179">
        <f t="shared" si="6"/>
        <v>0</v>
      </c>
    </row>
    <row r="77" spans="1:9" ht="31.5" x14ac:dyDescent="0.25">
      <c r="A77" s="16" t="s">
        <v>61</v>
      </c>
      <c r="B77" s="101">
        <v>1262120</v>
      </c>
      <c r="C77" s="101">
        <v>200</v>
      </c>
      <c r="D77" s="100">
        <f>D78</f>
        <v>46.3</v>
      </c>
      <c r="E77" s="94">
        <f t="shared" si="3"/>
        <v>-16.729999999999997</v>
      </c>
      <c r="F77" s="142">
        <f t="shared" si="7"/>
        <v>29.57</v>
      </c>
      <c r="G77" s="142">
        <f t="shared" si="7"/>
        <v>29.57</v>
      </c>
      <c r="H77" s="178">
        <f t="shared" si="5"/>
        <v>100</v>
      </c>
      <c r="I77" s="179">
        <f t="shared" si="6"/>
        <v>0</v>
      </c>
    </row>
    <row r="78" spans="1:9" ht="31.5" x14ac:dyDescent="0.25">
      <c r="A78" s="16" t="s">
        <v>62</v>
      </c>
      <c r="B78" s="101">
        <v>1262120</v>
      </c>
      <c r="C78" s="101">
        <v>240</v>
      </c>
      <c r="D78" s="100">
        <v>46.3</v>
      </c>
      <c r="E78" s="94">
        <f t="shared" si="3"/>
        <v>-16.729999999999997</v>
      </c>
      <c r="F78" s="142">
        <v>29.57</v>
      </c>
      <c r="G78" s="142">
        <v>29.57</v>
      </c>
      <c r="H78" s="178">
        <f t="shared" si="5"/>
        <v>100</v>
      </c>
      <c r="I78" s="179">
        <f t="shared" si="6"/>
        <v>0</v>
      </c>
    </row>
    <row r="79" spans="1:9" ht="31.5" x14ac:dyDescent="0.25">
      <c r="A79" s="49" t="s">
        <v>44</v>
      </c>
      <c r="B79" s="51">
        <v>1270000</v>
      </c>
      <c r="C79" s="51"/>
      <c r="D79" s="52">
        <f>D80+D83</f>
        <v>275.39999999999998</v>
      </c>
      <c r="E79" s="55">
        <f>F79-D79</f>
        <v>-76.999999999999972</v>
      </c>
      <c r="F79" s="169">
        <f>F80+F83</f>
        <v>198.4</v>
      </c>
      <c r="G79" s="169">
        <f>G80+G83</f>
        <v>129.06</v>
      </c>
      <c r="H79" s="223">
        <f t="shared" si="5"/>
        <v>65.050403225806448</v>
      </c>
      <c r="I79" s="224">
        <f t="shared" si="6"/>
        <v>69.34</v>
      </c>
    </row>
    <row r="80" spans="1:9" ht="63" x14ac:dyDescent="0.25">
      <c r="A80" s="15" t="s">
        <v>88</v>
      </c>
      <c r="B80" s="12">
        <v>1272108</v>
      </c>
      <c r="C80" s="12"/>
      <c r="D80" s="8">
        <f>D81</f>
        <v>245.4</v>
      </c>
      <c r="E80" s="40">
        <f t="shared" si="3"/>
        <v>-77</v>
      </c>
      <c r="F80" s="168">
        <f>F81</f>
        <v>168.4</v>
      </c>
      <c r="G80" s="168">
        <f>G81</f>
        <v>99.06</v>
      </c>
      <c r="H80" s="178">
        <f t="shared" si="5"/>
        <v>58.824228028503569</v>
      </c>
      <c r="I80" s="179">
        <f t="shared" si="6"/>
        <v>69.34</v>
      </c>
    </row>
    <row r="81" spans="1:9" ht="31.5" x14ac:dyDescent="0.25">
      <c r="A81" s="15" t="s">
        <v>61</v>
      </c>
      <c r="B81" s="12">
        <v>1272108</v>
      </c>
      <c r="C81" s="12">
        <v>200</v>
      </c>
      <c r="D81" s="8">
        <f>D82</f>
        <v>245.4</v>
      </c>
      <c r="E81" s="40">
        <f t="shared" si="3"/>
        <v>-77</v>
      </c>
      <c r="F81" s="168">
        <f>F82</f>
        <v>168.4</v>
      </c>
      <c r="G81" s="168">
        <f>G82</f>
        <v>99.06</v>
      </c>
      <c r="H81" s="178">
        <f t="shared" si="5"/>
        <v>58.824228028503569</v>
      </c>
      <c r="I81" s="179">
        <f t="shared" si="6"/>
        <v>69.34</v>
      </c>
    </row>
    <row r="82" spans="1:9" ht="31.5" x14ac:dyDescent="0.25">
      <c r="A82" s="15" t="s">
        <v>62</v>
      </c>
      <c r="B82" s="12">
        <v>1272108</v>
      </c>
      <c r="C82" s="12">
        <v>240</v>
      </c>
      <c r="D82" s="8">
        <v>245.4</v>
      </c>
      <c r="E82" s="40">
        <f t="shared" si="3"/>
        <v>-77</v>
      </c>
      <c r="F82" s="168">
        <v>168.4</v>
      </c>
      <c r="G82" s="168">
        <v>99.06</v>
      </c>
      <c r="H82" s="178">
        <f t="shared" si="5"/>
        <v>58.824228028503569</v>
      </c>
      <c r="I82" s="179">
        <f t="shared" si="6"/>
        <v>69.34</v>
      </c>
    </row>
    <row r="83" spans="1:9" ht="47.25" x14ac:dyDescent="0.25">
      <c r="A83" s="15" t="s">
        <v>260</v>
      </c>
      <c r="B83" s="12">
        <v>1275641</v>
      </c>
      <c r="C83" s="12"/>
      <c r="D83" s="8">
        <v>30</v>
      </c>
      <c r="E83" s="40">
        <f>E84</f>
        <v>0</v>
      </c>
      <c r="F83" s="168">
        <f>F84</f>
        <v>30</v>
      </c>
      <c r="G83" s="168">
        <f>G84</f>
        <v>30</v>
      </c>
      <c r="H83" s="178">
        <f t="shared" si="5"/>
        <v>100</v>
      </c>
      <c r="I83" s="179">
        <f t="shared" si="6"/>
        <v>0</v>
      </c>
    </row>
    <row r="84" spans="1:9" ht="31.5" x14ac:dyDescent="0.25">
      <c r="A84" s="15" t="s">
        <v>61</v>
      </c>
      <c r="B84" s="12">
        <v>1275641</v>
      </c>
      <c r="C84" s="12">
        <v>200</v>
      </c>
      <c r="D84" s="8">
        <v>30</v>
      </c>
      <c r="E84" s="40">
        <f>F84-D84</f>
        <v>0</v>
      </c>
      <c r="F84" s="168">
        <f>F85</f>
        <v>30</v>
      </c>
      <c r="G84" s="168">
        <f>G85</f>
        <v>30</v>
      </c>
      <c r="H84" s="178">
        <f t="shared" si="5"/>
        <v>100</v>
      </c>
      <c r="I84" s="179">
        <f t="shared" si="6"/>
        <v>0</v>
      </c>
    </row>
    <row r="85" spans="1:9" ht="31.5" x14ac:dyDescent="0.25">
      <c r="A85" s="15" t="s">
        <v>62</v>
      </c>
      <c r="B85" s="12">
        <v>1275641</v>
      </c>
      <c r="C85" s="12">
        <v>240</v>
      </c>
      <c r="D85" s="8">
        <v>30</v>
      </c>
      <c r="E85" s="40">
        <f>F85-D85</f>
        <v>0</v>
      </c>
      <c r="F85" s="168">
        <v>30</v>
      </c>
      <c r="G85" s="168">
        <v>30</v>
      </c>
      <c r="H85" s="178">
        <f t="shared" si="5"/>
        <v>100</v>
      </c>
      <c r="I85" s="179">
        <f t="shared" si="6"/>
        <v>0</v>
      </c>
    </row>
    <row r="86" spans="1:9" ht="47.25" x14ac:dyDescent="0.25">
      <c r="A86" s="43" t="s">
        <v>70</v>
      </c>
      <c r="B86" s="45">
        <v>1300000</v>
      </c>
      <c r="C86" s="45"/>
      <c r="D86" s="46" t="e">
        <f>D87+D94</f>
        <v>#REF!</v>
      </c>
      <c r="E86" s="47" t="e">
        <f t="shared" si="3"/>
        <v>#REF!</v>
      </c>
      <c r="F86" s="167">
        <f>F87+F94</f>
        <v>120.1</v>
      </c>
      <c r="G86" s="167">
        <f>G87+G94</f>
        <v>120.1</v>
      </c>
      <c r="H86" s="221">
        <f t="shared" si="5"/>
        <v>100</v>
      </c>
      <c r="I86" s="222">
        <f t="shared" si="6"/>
        <v>0</v>
      </c>
    </row>
    <row r="87" spans="1:9" ht="15.75" x14ac:dyDescent="0.25">
      <c r="A87" s="49" t="s">
        <v>71</v>
      </c>
      <c r="B87" s="51">
        <v>1310000</v>
      </c>
      <c r="C87" s="51"/>
      <c r="D87" s="52" t="e">
        <f>D88+#REF!+D91</f>
        <v>#REF!</v>
      </c>
      <c r="E87" s="55" t="e">
        <f t="shared" si="3"/>
        <v>#REF!</v>
      </c>
      <c r="F87" s="169">
        <f>F88+F91</f>
        <v>96.1</v>
      </c>
      <c r="G87" s="169">
        <f>G88+G91</f>
        <v>96.1</v>
      </c>
      <c r="H87" s="223">
        <f t="shared" si="5"/>
        <v>100</v>
      </c>
      <c r="I87" s="224">
        <f t="shared" si="6"/>
        <v>0</v>
      </c>
    </row>
    <row r="88" spans="1:9" ht="31.5" x14ac:dyDescent="0.25">
      <c r="A88" s="15" t="s">
        <v>72</v>
      </c>
      <c r="B88" s="12">
        <v>1312104</v>
      </c>
      <c r="C88" s="12"/>
      <c r="D88" s="8">
        <f>D89</f>
        <v>56.1</v>
      </c>
      <c r="E88" s="60">
        <f t="shared" si="3"/>
        <v>0</v>
      </c>
      <c r="F88" s="168">
        <f>F89</f>
        <v>56.1</v>
      </c>
      <c r="G88" s="168">
        <f>G89</f>
        <v>56.1</v>
      </c>
      <c r="H88" s="178">
        <f t="shared" si="5"/>
        <v>100</v>
      </c>
      <c r="I88" s="179">
        <f t="shared" si="6"/>
        <v>0</v>
      </c>
    </row>
    <row r="89" spans="1:9" ht="31.5" x14ac:dyDescent="0.25">
      <c r="A89" s="15" t="s">
        <v>61</v>
      </c>
      <c r="B89" s="12">
        <v>1312104</v>
      </c>
      <c r="C89" s="12">
        <v>200</v>
      </c>
      <c r="D89" s="8">
        <f>D90</f>
        <v>56.1</v>
      </c>
      <c r="E89" s="60">
        <f t="shared" si="3"/>
        <v>0</v>
      </c>
      <c r="F89" s="168">
        <f>F90</f>
        <v>56.1</v>
      </c>
      <c r="G89" s="168">
        <f>G90</f>
        <v>56.1</v>
      </c>
      <c r="H89" s="178">
        <f t="shared" si="5"/>
        <v>100</v>
      </c>
      <c r="I89" s="179">
        <f t="shared" si="6"/>
        <v>0</v>
      </c>
    </row>
    <row r="90" spans="1:9" ht="31.5" x14ac:dyDescent="0.25">
      <c r="A90" s="15" t="s">
        <v>62</v>
      </c>
      <c r="B90" s="12">
        <v>1312104</v>
      </c>
      <c r="C90" s="12">
        <v>240</v>
      </c>
      <c r="D90" s="8">
        <v>56.1</v>
      </c>
      <c r="E90" s="60">
        <f t="shared" si="3"/>
        <v>0</v>
      </c>
      <c r="F90" s="168">
        <v>56.1</v>
      </c>
      <c r="G90" s="168">
        <v>56.1</v>
      </c>
      <c r="H90" s="178">
        <f t="shared" si="5"/>
        <v>100</v>
      </c>
      <c r="I90" s="179">
        <f t="shared" si="6"/>
        <v>0</v>
      </c>
    </row>
    <row r="91" spans="1:9" ht="28.5" customHeight="1" x14ac:dyDescent="0.25">
      <c r="A91" s="15" t="s">
        <v>279</v>
      </c>
      <c r="B91" s="12">
        <v>1315931</v>
      </c>
      <c r="C91" s="12"/>
      <c r="D91" s="8">
        <f>D92</f>
        <v>40</v>
      </c>
      <c r="E91" s="60">
        <f t="shared" si="3"/>
        <v>0</v>
      </c>
      <c r="F91" s="168">
        <f>F92</f>
        <v>40</v>
      </c>
      <c r="G91" s="168">
        <f>G92</f>
        <v>40</v>
      </c>
      <c r="H91" s="178">
        <f t="shared" si="5"/>
        <v>100</v>
      </c>
      <c r="I91" s="179">
        <f t="shared" si="6"/>
        <v>0</v>
      </c>
    </row>
    <row r="92" spans="1:9" ht="31.5" x14ac:dyDescent="0.25">
      <c r="A92" s="15" t="s">
        <v>221</v>
      </c>
      <c r="B92" s="12">
        <v>1315931</v>
      </c>
      <c r="C92" s="12">
        <v>200</v>
      </c>
      <c r="D92" s="8">
        <f>D93</f>
        <v>40</v>
      </c>
      <c r="E92" s="60">
        <f t="shared" si="3"/>
        <v>0</v>
      </c>
      <c r="F92" s="168">
        <f>F93</f>
        <v>40</v>
      </c>
      <c r="G92" s="168">
        <f>G93</f>
        <v>40</v>
      </c>
      <c r="H92" s="178">
        <f t="shared" si="5"/>
        <v>100</v>
      </c>
      <c r="I92" s="179">
        <f t="shared" si="6"/>
        <v>0</v>
      </c>
    </row>
    <row r="93" spans="1:9" ht="31.5" x14ac:dyDescent="0.25">
      <c r="A93" s="15" t="s">
        <v>218</v>
      </c>
      <c r="B93" s="12">
        <v>1315931</v>
      </c>
      <c r="C93" s="12">
        <v>240</v>
      </c>
      <c r="D93" s="8">
        <v>40</v>
      </c>
      <c r="E93" s="60">
        <f t="shared" si="3"/>
        <v>0</v>
      </c>
      <c r="F93" s="168">
        <v>40</v>
      </c>
      <c r="G93" s="168">
        <v>40</v>
      </c>
      <c r="H93" s="178">
        <f t="shared" si="5"/>
        <v>100</v>
      </c>
      <c r="I93" s="179">
        <f t="shared" si="6"/>
        <v>0</v>
      </c>
    </row>
    <row r="94" spans="1:9" ht="47.25" x14ac:dyDescent="0.25">
      <c r="A94" s="49" t="s">
        <v>73</v>
      </c>
      <c r="B94" s="51">
        <v>1320000</v>
      </c>
      <c r="C94" s="53"/>
      <c r="D94" s="52">
        <f>D98+D95</f>
        <v>24</v>
      </c>
      <c r="E94" s="55">
        <f t="shared" si="3"/>
        <v>0</v>
      </c>
      <c r="F94" s="169">
        <f>F98+F95</f>
        <v>24</v>
      </c>
      <c r="G94" s="169">
        <f>G98+G95</f>
        <v>24</v>
      </c>
      <c r="H94" s="223">
        <f t="shared" si="5"/>
        <v>100</v>
      </c>
      <c r="I94" s="224">
        <f t="shared" si="6"/>
        <v>0</v>
      </c>
    </row>
    <row r="95" spans="1:9" ht="32.25" customHeight="1" x14ac:dyDescent="0.25">
      <c r="A95" s="16" t="s">
        <v>263</v>
      </c>
      <c r="B95" s="101">
        <v>1322103</v>
      </c>
      <c r="C95" s="99"/>
      <c r="D95" s="100">
        <f t="shared" ref="D95:G96" si="8">D96</f>
        <v>10</v>
      </c>
      <c r="E95" s="94">
        <f t="shared" si="8"/>
        <v>0</v>
      </c>
      <c r="F95" s="174">
        <f t="shared" si="8"/>
        <v>10</v>
      </c>
      <c r="G95" s="174">
        <f t="shared" si="8"/>
        <v>10</v>
      </c>
      <c r="H95" s="178">
        <f t="shared" si="5"/>
        <v>100</v>
      </c>
      <c r="I95" s="179">
        <f t="shared" si="6"/>
        <v>0</v>
      </c>
    </row>
    <row r="96" spans="1:9" ht="31.5" x14ac:dyDescent="0.25">
      <c r="A96" s="16" t="s">
        <v>221</v>
      </c>
      <c r="B96" s="101">
        <v>1322103</v>
      </c>
      <c r="C96" s="99">
        <v>200</v>
      </c>
      <c r="D96" s="100">
        <f t="shared" si="8"/>
        <v>10</v>
      </c>
      <c r="E96" s="94">
        <f t="shared" si="8"/>
        <v>0</v>
      </c>
      <c r="F96" s="174">
        <f t="shared" si="8"/>
        <v>10</v>
      </c>
      <c r="G96" s="174">
        <f t="shared" si="8"/>
        <v>10</v>
      </c>
      <c r="H96" s="178">
        <f t="shared" si="5"/>
        <v>100</v>
      </c>
      <c r="I96" s="179">
        <f t="shared" si="6"/>
        <v>0</v>
      </c>
    </row>
    <row r="97" spans="1:9" ht="31.5" x14ac:dyDescent="0.25">
      <c r="A97" s="16" t="s">
        <v>218</v>
      </c>
      <c r="B97" s="101">
        <v>1322103</v>
      </c>
      <c r="C97" s="99">
        <v>240</v>
      </c>
      <c r="D97" s="100">
        <v>10</v>
      </c>
      <c r="E97" s="94">
        <f>F97-D97</f>
        <v>0</v>
      </c>
      <c r="F97" s="174">
        <v>10</v>
      </c>
      <c r="G97" s="174">
        <v>10</v>
      </c>
      <c r="H97" s="178">
        <f t="shared" si="5"/>
        <v>100</v>
      </c>
      <c r="I97" s="179">
        <f t="shared" si="6"/>
        <v>0</v>
      </c>
    </row>
    <row r="98" spans="1:9" ht="31.5" x14ac:dyDescent="0.25">
      <c r="A98" s="15" t="s">
        <v>53</v>
      </c>
      <c r="B98" s="12">
        <v>1327061</v>
      </c>
      <c r="C98" s="12"/>
      <c r="D98" s="8">
        <f>D99</f>
        <v>14</v>
      </c>
      <c r="E98" s="40">
        <f t="shared" si="3"/>
        <v>0</v>
      </c>
      <c r="F98" s="168">
        <f>F99</f>
        <v>14</v>
      </c>
      <c r="G98" s="168">
        <f>G99</f>
        <v>14</v>
      </c>
      <c r="H98" s="178">
        <f t="shared" si="5"/>
        <v>100</v>
      </c>
      <c r="I98" s="179">
        <f t="shared" si="6"/>
        <v>0</v>
      </c>
    </row>
    <row r="99" spans="1:9" ht="31.5" x14ac:dyDescent="0.25">
      <c r="A99" s="15" t="s">
        <v>61</v>
      </c>
      <c r="B99" s="12">
        <v>1327061</v>
      </c>
      <c r="C99" s="12">
        <v>200</v>
      </c>
      <c r="D99" s="8">
        <f>D100</f>
        <v>14</v>
      </c>
      <c r="E99" s="40">
        <f t="shared" ref="E99:E176" si="9">F99-D99</f>
        <v>0</v>
      </c>
      <c r="F99" s="168">
        <f>F100</f>
        <v>14</v>
      </c>
      <c r="G99" s="168">
        <f>G100</f>
        <v>14</v>
      </c>
      <c r="H99" s="178">
        <f t="shared" si="5"/>
        <v>100</v>
      </c>
      <c r="I99" s="179">
        <f t="shared" si="6"/>
        <v>0</v>
      </c>
    </row>
    <row r="100" spans="1:9" ht="31.5" x14ac:dyDescent="0.25">
      <c r="A100" s="15" t="s">
        <v>62</v>
      </c>
      <c r="B100" s="12">
        <v>1327061</v>
      </c>
      <c r="C100" s="12">
        <v>240</v>
      </c>
      <c r="D100" s="8">
        <v>14</v>
      </c>
      <c r="E100" s="40">
        <f t="shared" si="9"/>
        <v>0</v>
      </c>
      <c r="F100" s="168">
        <v>14</v>
      </c>
      <c r="G100" s="168">
        <v>14</v>
      </c>
      <c r="H100" s="178">
        <f t="shared" si="5"/>
        <v>100</v>
      </c>
      <c r="I100" s="179">
        <f t="shared" si="6"/>
        <v>0</v>
      </c>
    </row>
    <row r="101" spans="1:9" ht="63" x14ac:dyDescent="0.25">
      <c r="A101" s="43" t="s">
        <v>65</v>
      </c>
      <c r="B101" s="45">
        <v>1400000</v>
      </c>
      <c r="C101" s="45"/>
      <c r="D101" s="46" t="e">
        <f>D102+D109</f>
        <v>#REF!</v>
      </c>
      <c r="E101" s="47" t="e">
        <f t="shared" si="9"/>
        <v>#REF!</v>
      </c>
      <c r="F101" s="167">
        <f>F102+F109</f>
        <v>308.8</v>
      </c>
      <c r="G101" s="167">
        <f>G102+G109</f>
        <v>5.6</v>
      </c>
      <c r="H101" s="221">
        <f t="shared" si="5"/>
        <v>1.8134715025906734</v>
      </c>
      <c r="I101" s="222">
        <f t="shared" si="6"/>
        <v>303.2</v>
      </c>
    </row>
    <row r="102" spans="1:9" ht="47.25" x14ac:dyDescent="0.25">
      <c r="A102" s="49" t="s">
        <v>40</v>
      </c>
      <c r="B102" s="51">
        <v>1410000</v>
      </c>
      <c r="C102" s="51"/>
      <c r="D102" s="52" t="e">
        <f>#REF!+D103+D106</f>
        <v>#REF!</v>
      </c>
      <c r="E102" s="55" t="e">
        <f t="shared" si="9"/>
        <v>#REF!</v>
      </c>
      <c r="F102" s="169">
        <f>F103+F106</f>
        <v>305</v>
      </c>
      <c r="G102" s="169">
        <f>G103+G106</f>
        <v>1.8</v>
      </c>
      <c r="H102" s="223">
        <f t="shared" si="5"/>
        <v>0.5901639344262295</v>
      </c>
      <c r="I102" s="224">
        <f t="shared" si="6"/>
        <v>303.2</v>
      </c>
    </row>
    <row r="103" spans="1:9" ht="15.75" x14ac:dyDescent="0.25">
      <c r="A103" s="15" t="s">
        <v>67</v>
      </c>
      <c r="B103" s="12">
        <v>1417020</v>
      </c>
      <c r="C103" s="12"/>
      <c r="D103" s="8">
        <f>D104</f>
        <v>300</v>
      </c>
      <c r="E103" s="40">
        <f t="shared" si="9"/>
        <v>0</v>
      </c>
      <c r="F103" s="168">
        <f>F104</f>
        <v>300</v>
      </c>
      <c r="G103" s="168">
        <f>G104</f>
        <v>0</v>
      </c>
      <c r="H103" s="178">
        <f t="shared" si="5"/>
        <v>0</v>
      </c>
      <c r="I103" s="179">
        <f t="shared" si="6"/>
        <v>300</v>
      </c>
    </row>
    <row r="104" spans="1:9" ht="15.75" x14ac:dyDescent="0.25">
      <c r="A104" s="15" t="s">
        <v>63</v>
      </c>
      <c r="B104" s="12">
        <v>1417020</v>
      </c>
      <c r="C104" s="12">
        <v>800</v>
      </c>
      <c r="D104" s="8">
        <f>D105</f>
        <v>300</v>
      </c>
      <c r="E104" s="40">
        <f t="shared" si="9"/>
        <v>0</v>
      </c>
      <c r="F104" s="168">
        <f>F105</f>
        <v>300</v>
      </c>
      <c r="G104" s="168">
        <f>G105</f>
        <v>0</v>
      </c>
      <c r="H104" s="178">
        <f t="shared" si="5"/>
        <v>0</v>
      </c>
      <c r="I104" s="179">
        <f t="shared" si="6"/>
        <v>300</v>
      </c>
    </row>
    <row r="105" spans="1:9" ht="15.75" x14ac:dyDescent="0.25">
      <c r="A105" s="15" t="s">
        <v>68</v>
      </c>
      <c r="B105" s="12">
        <v>1417020</v>
      </c>
      <c r="C105" s="12">
        <v>870</v>
      </c>
      <c r="D105" s="8">
        <v>300</v>
      </c>
      <c r="E105" s="40">
        <f t="shared" si="9"/>
        <v>0</v>
      </c>
      <c r="F105" s="168">
        <v>300</v>
      </c>
      <c r="G105" s="168">
        <v>0</v>
      </c>
      <c r="H105" s="178">
        <f t="shared" si="5"/>
        <v>0</v>
      </c>
      <c r="I105" s="179">
        <f t="shared" si="6"/>
        <v>300</v>
      </c>
    </row>
    <row r="106" spans="1:9" ht="63" x14ac:dyDescent="0.25">
      <c r="A106" s="15" t="s">
        <v>83</v>
      </c>
      <c r="B106" s="12">
        <v>1412108</v>
      </c>
      <c r="C106" s="12"/>
      <c r="D106" s="8">
        <f>D107</f>
        <v>5</v>
      </c>
      <c r="E106" s="40">
        <f t="shared" si="9"/>
        <v>0</v>
      </c>
      <c r="F106" s="168">
        <f>F107</f>
        <v>5</v>
      </c>
      <c r="G106" s="168">
        <f>G107</f>
        <v>1.8</v>
      </c>
      <c r="H106" s="178">
        <f t="shared" si="5"/>
        <v>36</v>
      </c>
      <c r="I106" s="179">
        <f t="shared" si="6"/>
        <v>3.2</v>
      </c>
    </row>
    <row r="107" spans="1:9" ht="31.5" x14ac:dyDescent="0.25">
      <c r="A107" s="15" t="s">
        <v>61</v>
      </c>
      <c r="B107" s="12">
        <v>1412108</v>
      </c>
      <c r="C107" s="12">
        <v>200</v>
      </c>
      <c r="D107" s="8">
        <f>D108</f>
        <v>5</v>
      </c>
      <c r="E107" s="40">
        <f t="shared" si="9"/>
        <v>0</v>
      </c>
      <c r="F107" s="168">
        <f>F108</f>
        <v>5</v>
      </c>
      <c r="G107" s="168">
        <f>G108</f>
        <v>1.8</v>
      </c>
      <c r="H107" s="178">
        <f t="shared" si="5"/>
        <v>36</v>
      </c>
      <c r="I107" s="179">
        <f t="shared" si="6"/>
        <v>3.2</v>
      </c>
    </row>
    <row r="108" spans="1:9" ht="31.5" x14ac:dyDescent="0.25">
      <c r="A108" s="15" t="s">
        <v>62</v>
      </c>
      <c r="B108" s="12">
        <v>1412108</v>
      </c>
      <c r="C108" s="12">
        <v>240</v>
      </c>
      <c r="D108" s="8">
        <v>5</v>
      </c>
      <c r="E108" s="40">
        <f t="shared" si="9"/>
        <v>0</v>
      </c>
      <c r="F108" s="168">
        <v>5</v>
      </c>
      <c r="G108" s="168">
        <v>1.8</v>
      </c>
      <c r="H108" s="178">
        <f t="shared" si="5"/>
        <v>36</v>
      </c>
      <c r="I108" s="179">
        <f t="shared" si="6"/>
        <v>3.2</v>
      </c>
    </row>
    <row r="109" spans="1:9" ht="15.75" x14ac:dyDescent="0.25">
      <c r="A109" s="49" t="s">
        <v>41</v>
      </c>
      <c r="B109" s="51">
        <v>1420000</v>
      </c>
      <c r="C109" s="51"/>
      <c r="D109" s="52">
        <f>D110</f>
        <v>5</v>
      </c>
      <c r="E109" s="55">
        <f t="shared" si="9"/>
        <v>-1.2000000000000002</v>
      </c>
      <c r="F109" s="169">
        <f t="shared" ref="F109:G111" si="10">F110</f>
        <v>3.8</v>
      </c>
      <c r="G109" s="169">
        <f t="shared" si="10"/>
        <v>3.8</v>
      </c>
      <c r="H109" s="223">
        <f t="shared" si="5"/>
        <v>100</v>
      </c>
      <c r="I109" s="224">
        <f t="shared" si="6"/>
        <v>0</v>
      </c>
    </row>
    <row r="110" spans="1:9" ht="31.5" x14ac:dyDescent="0.25">
      <c r="A110" s="15" t="s">
        <v>42</v>
      </c>
      <c r="B110" s="12">
        <v>1422123</v>
      </c>
      <c r="C110" s="12"/>
      <c r="D110" s="8">
        <f>D111</f>
        <v>5</v>
      </c>
      <c r="E110" s="40">
        <f t="shared" si="9"/>
        <v>-1.2000000000000002</v>
      </c>
      <c r="F110" s="168">
        <f t="shared" si="10"/>
        <v>3.8</v>
      </c>
      <c r="G110" s="168">
        <f t="shared" si="10"/>
        <v>3.8</v>
      </c>
      <c r="H110" s="178">
        <f t="shared" si="5"/>
        <v>100</v>
      </c>
      <c r="I110" s="179">
        <f t="shared" si="6"/>
        <v>0</v>
      </c>
    </row>
    <row r="111" spans="1:9" ht="31.5" x14ac:dyDescent="0.25">
      <c r="A111" s="15" t="s">
        <v>61</v>
      </c>
      <c r="B111" s="12">
        <v>1422123</v>
      </c>
      <c r="C111" s="12">
        <v>200</v>
      </c>
      <c r="D111" s="8">
        <f>D112</f>
        <v>5</v>
      </c>
      <c r="E111" s="40">
        <f t="shared" si="9"/>
        <v>-1.2000000000000002</v>
      </c>
      <c r="F111" s="168">
        <f t="shared" si="10"/>
        <v>3.8</v>
      </c>
      <c r="G111" s="168">
        <f t="shared" si="10"/>
        <v>3.8</v>
      </c>
      <c r="H111" s="178">
        <f t="shared" si="5"/>
        <v>100</v>
      </c>
      <c r="I111" s="179">
        <f t="shared" si="6"/>
        <v>0</v>
      </c>
    </row>
    <row r="112" spans="1:9" ht="31.5" x14ac:dyDescent="0.25">
      <c r="A112" s="15" t="s">
        <v>62</v>
      </c>
      <c r="B112" s="12">
        <v>1422123</v>
      </c>
      <c r="C112" s="12">
        <v>240</v>
      </c>
      <c r="D112" s="8">
        <v>5</v>
      </c>
      <c r="E112" s="40">
        <f t="shared" si="9"/>
        <v>-1.2000000000000002</v>
      </c>
      <c r="F112" s="168">
        <v>3.8</v>
      </c>
      <c r="G112" s="168">
        <v>3.8</v>
      </c>
      <c r="H112" s="178">
        <f t="shared" si="5"/>
        <v>100</v>
      </c>
      <c r="I112" s="179">
        <f t="shared" si="6"/>
        <v>0</v>
      </c>
    </row>
    <row r="113" spans="1:9" ht="47.25" x14ac:dyDescent="0.25">
      <c r="A113" s="43" t="s">
        <v>182</v>
      </c>
      <c r="B113" s="45">
        <v>1500000</v>
      </c>
      <c r="C113" s="45"/>
      <c r="D113" s="46">
        <f>D114</f>
        <v>30</v>
      </c>
      <c r="E113" s="47">
        <f t="shared" si="9"/>
        <v>0</v>
      </c>
      <c r="F113" s="167">
        <f t="shared" ref="F113:G116" si="11">F114</f>
        <v>30</v>
      </c>
      <c r="G113" s="167">
        <f t="shared" si="11"/>
        <v>30</v>
      </c>
      <c r="H113" s="221">
        <f t="shared" si="5"/>
        <v>100</v>
      </c>
      <c r="I113" s="222">
        <f t="shared" si="6"/>
        <v>0</v>
      </c>
    </row>
    <row r="114" spans="1:9" ht="31.5" x14ac:dyDescent="0.25">
      <c r="A114" s="49" t="s">
        <v>45</v>
      </c>
      <c r="B114" s="51">
        <v>1510000</v>
      </c>
      <c r="C114" s="51"/>
      <c r="D114" s="52">
        <f>D115</f>
        <v>30</v>
      </c>
      <c r="E114" s="55">
        <f t="shared" si="9"/>
        <v>0</v>
      </c>
      <c r="F114" s="169">
        <f t="shared" si="11"/>
        <v>30</v>
      </c>
      <c r="G114" s="169">
        <f t="shared" si="11"/>
        <v>30</v>
      </c>
      <c r="H114" s="223">
        <f t="shared" si="5"/>
        <v>100</v>
      </c>
      <c r="I114" s="224">
        <f t="shared" si="6"/>
        <v>0</v>
      </c>
    </row>
    <row r="115" spans="1:9" ht="31.5" x14ac:dyDescent="0.25">
      <c r="A115" s="15" t="s">
        <v>46</v>
      </c>
      <c r="B115" s="12">
        <v>1517061</v>
      </c>
      <c r="C115" s="12"/>
      <c r="D115" s="8">
        <f>D116</f>
        <v>30</v>
      </c>
      <c r="E115" s="40">
        <f t="shared" si="9"/>
        <v>0</v>
      </c>
      <c r="F115" s="168">
        <f t="shared" si="11"/>
        <v>30</v>
      </c>
      <c r="G115" s="168">
        <f t="shared" si="11"/>
        <v>30</v>
      </c>
      <c r="H115" s="178">
        <f t="shared" si="5"/>
        <v>100</v>
      </c>
      <c r="I115" s="179">
        <f t="shared" si="6"/>
        <v>0</v>
      </c>
    </row>
    <row r="116" spans="1:9" ht="31.5" x14ac:dyDescent="0.25">
      <c r="A116" s="15" t="s">
        <v>61</v>
      </c>
      <c r="B116" s="12">
        <v>1517061</v>
      </c>
      <c r="C116" s="12">
        <v>200</v>
      </c>
      <c r="D116" s="8">
        <f>D117</f>
        <v>30</v>
      </c>
      <c r="E116" s="40">
        <f t="shared" si="9"/>
        <v>0</v>
      </c>
      <c r="F116" s="168">
        <f t="shared" si="11"/>
        <v>30</v>
      </c>
      <c r="G116" s="168">
        <f t="shared" si="11"/>
        <v>30</v>
      </c>
      <c r="H116" s="178">
        <f t="shared" si="5"/>
        <v>100</v>
      </c>
      <c r="I116" s="179">
        <f t="shared" si="6"/>
        <v>0</v>
      </c>
    </row>
    <row r="117" spans="1:9" ht="31.5" x14ac:dyDescent="0.25">
      <c r="A117" s="15" t="s">
        <v>62</v>
      </c>
      <c r="B117" s="12">
        <v>1517061</v>
      </c>
      <c r="C117" s="12">
        <v>240</v>
      </c>
      <c r="D117" s="8">
        <v>30</v>
      </c>
      <c r="E117" s="40">
        <f t="shared" si="9"/>
        <v>0</v>
      </c>
      <c r="F117" s="168">
        <v>30</v>
      </c>
      <c r="G117" s="168">
        <v>30</v>
      </c>
      <c r="H117" s="178">
        <f t="shared" si="5"/>
        <v>100</v>
      </c>
      <c r="I117" s="179">
        <f t="shared" si="6"/>
        <v>0</v>
      </c>
    </row>
    <row r="118" spans="1:9" ht="31.5" x14ac:dyDescent="0.25">
      <c r="A118" s="43" t="s">
        <v>84</v>
      </c>
      <c r="B118" s="45">
        <v>1700000</v>
      </c>
      <c r="C118" s="45"/>
      <c r="D118" s="57">
        <f>D119</f>
        <v>815</v>
      </c>
      <c r="E118" s="47">
        <f t="shared" si="9"/>
        <v>266.00000000000023</v>
      </c>
      <c r="F118" s="175">
        <f>F119</f>
        <v>1081.0000000000002</v>
      </c>
      <c r="G118" s="175">
        <f>G119</f>
        <v>972.9799999999999</v>
      </c>
      <c r="H118" s="221">
        <f t="shared" si="5"/>
        <v>90.007400555041599</v>
      </c>
      <c r="I118" s="222">
        <f t="shared" si="6"/>
        <v>108.02000000000032</v>
      </c>
    </row>
    <row r="119" spans="1:9" ht="47.25" x14ac:dyDescent="0.25">
      <c r="A119" s="49" t="s">
        <v>85</v>
      </c>
      <c r="B119" s="51">
        <v>1710000</v>
      </c>
      <c r="C119" s="51"/>
      <c r="D119" s="56">
        <f>D120</f>
        <v>815</v>
      </c>
      <c r="E119" s="55">
        <f t="shared" si="9"/>
        <v>266.00000000000023</v>
      </c>
      <c r="F119" s="170">
        <f>F120+F123</f>
        <v>1081.0000000000002</v>
      </c>
      <c r="G119" s="170">
        <f>G120+G123</f>
        <v>972.9799999999999</v>
      </c>
      <c r="H119" s="223">
        <f t="shared" si="5"/>
        <v>90.007400555041599</v>
      </c>
      <c r="I119" s="224">
        <f t="shared" si="6"/>
        <v>108.02000000000032</v>
      </c>
    </row>
    <row r="120" spans="1:9" ht="15.75" x14ac:dyDescent="0.25">
      <c r="A120" s="15" t="s">
        <v>86</v>
      </c>
      <c r="B120" s="12">
        <v>1712128</v>
      </c>
      <c r="C120" s="12"/>
      <c r="D120" s="29">
        <f>D121</f>
        <v>815</v>
      </c>
      <c r="E120" s="40">
        <f t="shared" si="9"/>
        <v>257.30000000000018</v>
      </c>
      <c r="F120" s="171">
        <f>F121</f>
        <v>1072.3000000000002</v>
      </c>
      <c r="G120" s="171">
        <f>G121</f>
        <v>964.3</v>
      </c>
      <c r="H120" s="178">
        <f t="shared" si="5"/>
        <v>89.928191737386911</v>
      </c>
      <c r="I120" s="179">
        <f t="shared" si="6"/>
        <v>108.00000000000023</v>
      </c>
    </row>
    <row r="121" spans="1:9" ht="31.5" x14ac:dyDescent="0.25">
      <c r="A121" s="15" t="s">
        <v>61</v>
      </c>
      <c r="B121" s="12">
        <v>1712128</v>
      </c>
      <c r="C121" s="12">
        <v>200</v>
      </c>
      <c r="D121" s="29">
        <f>D122</f>
        <v>815</v>
      </c>
      <c r="E121" s="40">
        <f t="shared" si="9"/>
        <v>257.30000000000018</v>
      </c>
      <c r="F121" s="171">
        <f>F122</f>
        <v>1072.3000000000002</v>
      </c>
      <c r="G121" s="171">
        <f>G122</f>
        <v>964.3</v>
      </c>
      <c r="H121" s="178">
        <f t="shared" si="5"/>
        <v>89.928191737386911</v>
      </c>
      <c r="I121" s="179">
        <f t="shared" si="6"/>
        <v>108.00000000000023</v>
      </c>
    </row>
    <row r="122" spans="1:9" ht="31.5" x14ac:dyDescent="0.25">
      <c r="A122" s="15" t="s">
        <v>62</v>
      </c>
      <c r="B122" s="12">
        <v>1712128</v>
      </c>
      <c r="C122" s="12">
        <v>240</v>
      </c>
      <c r="D122" s="29">
        <v>815</v>
      </c>
      <c r="E122" s="40">
        <f t="shared" si="9"/>
        <v>257.30000000000018</v>
      </c>
      <c r="F122" s="171">
        <f>1076.9-4.6</f>
        <v>1072.3000000000002</v>
      </c>
      <c r="G122" s="171">
        <v>964.3</v>
      </c>
      <c r="H122" s="178">
        <f t="shared" si="5"/>
        <v>89.928191737386911</v>
      </c>
      <c r="I122" s="179">
        <f t="shared" si="6"/>
        <v>108.00000000000023</v>
      </c>
    </row>
    <row r="123" spans="1:9" ht="57.75" customHeight="1" x14ac:dyDescent="0.25">
      <c r="A123" s="15" t="s">
        <v>275</v>
      </c>
      <c r="B123" s="12">
        <v>1710059</v>
      </c>
      <c r="C123" s="12"/>
      <c r="D123" s="29">
        <f>D124</f>
        <v>0</v>
      </c>
      <c r="E123" s="40">
        <f t="shared" si="9"/>
        <v>8.6999999999999993</v>
      </c>
      <c r="F123" s="171">
        <f>F124</f>
        <v>8.6999999999999993</v>
      </c>
      <c r="G123" s="171">
        <f>G124</f>
        <v>8.68</v>
      </c>
      <c r="H123" s="178">
        <f t="shared" si="5"/>
        <v>99.77011494252875</v>
      </c>
      <c r="I123" s="179">
        <f t="shared" si="6"/>
        <v>1.9999999999999574E-2</v>
      </c>
    </row>
    <row r="124" spans="1:9" ht="31.5" x14ac:dyDescent="0.25">
      <c r="A124" s="15" t="s">
        <v>61</v>
      </c>
      <c r="B124" s="12">
        <v>1710059</v>
      </c>
      <c r="C124" s="12">
        <v>200</v>
      </c>
      <c r="D124" s="29">
        <f>D125</f>
        <v>0</v>
      </c>
      <c r="E124" s="40">
        <f t="shared" si="9"/>
        <v>8.6999999999999993</v>
      </c>
      <c r="F124" s="171">
        <f>F125</f>
        <v>8.6999999999999993</v>
      </c>
      <c r="G124" s="171">
        <f>G125</f>
        <v>8.68</v>
      </c>
      <c r="H124" s="178">
        <f t="shared" si="5"/>
        <v>99.77011494252875</v>
      </c>
      <c r="I124" s="179">
        <f t="shared" si="6"/>
        <v>1.9999999999999574E-2</v>
      </c>
    </row>
    <row r="125" spans="1:9" ht="31.5" x14ac:dyDescent="0.25">
      <c r="A125" s="15" t="s">
        <v>62</v>
      </c>
      <c r="B125" s="12">
        <v>1710059</v>
      </c>
      <c r="C125" s="12">
        <v>240</v>
      </c>
      <c r="D125" s="29">
        <v>0</v>
      </c>
      <c r="E125" s="40">
        <f t="shared" si="9"/>
        <v>8.6999999999999993</v>
      </c>
      <c r="F125" s="171">
        <v>8.6999999999999993</v>
      </c>
      <c r="G125" s="171">
        <v>8.68</v>
      </c>
      <c r="H125" s="178">
        <f t="shared" si="5"/>
        <v>99.77011494252875</v>
      </c>
      <c r="I125" s="179">
        <f t="shared" si="6"/>
        <v>1.9999999999999574E-2</v>
      </c>
    </row>
    <row r="126" spans="1:9" ht="47.25" x14ac:dyDescent="0.25">
      <c r="A126" s="43" t="s">
        <v>74</v>
      </c>
      <c r="B126" s="44">
        <v>2200000</v>
      </c>
      <c r="C126" s="45"/>
      <c r="D126" s="57">
        <f>D127+D133</f>
        <v>2569.6</v>
      </c>
      <c r="E126" s="47">
        <f t="shared" si="9"/>
        <v>-299.41000000000031</v>
      </c>
      <c r="F126" s="175">
        <f>F127+F133</f>
        <v>2270.1899999999996</v>
      </c>
      <c r="G126" s="175">
        <f>G127+G133</f>
        <v>1977.28</v>
      </c>
      <c r="H126" s="221">
        <f t="shared" si="5"/>
        <v>87.097555711195994</v>
      </c>
      <c r="I126" s="222">
        <f t="shared" si="6"/>
        <v>292.90999999999963</v>
      </c>
    </row>
    <row r="127" spans="1:9" ht="47.25" x14ac:dyDescent="0.25">
      <c r="A127" s="15" t="s">
        <v>75</v>
      </c>
      <c r="B127" s="12">
        <v>2202119</v>
      </c>
      <c r="C127" s="12"/>
      <c r="D127" s="29">
        <f>D128+D130</f>
        <v>2540.4</v>
      </c>
      <c r="E127" s="40">
        <f t="shared" si="9"/>
        <v>-299.43000000000029</v>
      </c>
      <c r="F127" s="171">
        <f>F128+F130</f>
        <v>2240.9699999999998</v>
      </c>
      <c r="G127" s="171">
        <f>G128+G130</f>
        <v>1948.06</v>
      </c>
      <c r="H127" s="178">
        <f t="shared" ref="H127:H177" si="12">G127/F127*100</f>
        <v>86.929320785195713</v>
      </c>
      <c r="I127" s="179">
        <f t="shared" ref="I127:I177" si="13">F127-G127</f>
        <v>292.90999999999985</v>
      </c>
    </row>
    <row r="128" spans="1:9" ht="31.5" x14ac:dyDescent="0.25">
      <c r="A128" s="15" t="s">
        <v>61</v>
      </c>
      <c r="B128" s="12">
        <v>2202119</v>
      </c>
      <c r="C128" s="12">
        <v>200</v>
      </c>
      <c r="D128" s="29">
        <f>D129</f>
        <v>2540.4</v>
      </c>
      <c r="E128" s="40">
        <f t="shared" si="9"/>
        <v>-321.43000000000029</v>
      </c>
      <c r="F128" s="171">
        <f>F129</f>
        <v>2218.9699999999998</v>
      </c>
      <c r="G128" s="171">
        <f>G129</f>
        <v>1927.23</v>
      </c>
      <c r="H128" s="178">
        <f t="shared" si="12"/>
        <v>86.852458573121766</v>
      </c>
      <c r="I128" s="179">
        <f t="shared" si="13"/>
        <v>291.73999999999978</v>
      </c>
    </row>
    <row r="129" spans="1:9" ht="31.5" x14ac:dyDescent="0.25">
      <c r="A129" s="15" t="s">
        <v>62</v>
      </c>
      <c r="B129" s="12">
        <v>2202119</v>
      </c>
      <c r="C129" s="12">
        <v>240</v>
      </c>
      <c r="D129" s="29">
        <v>2540.4</v>
      </c>
      <c r="E129" s="40">
        <f t="shared" si="9"/>
        <v>-321.43000000000029</v>
      </c>
      <c r="F129" s="171">
        <f>2218.97</f>
        <v>2218.9699999999998</v>
      </c>
      <c r="G129" s="171">
        <v>1927.23</v>
      </c>
      <c r="H129" s="178">
        <f t="shared" si="12"/>
        <v>86.852458573121766</v>
      </c>
      <c r="I129" s="179">
        <f t="shared" si="13"/>
        <v>291.73999999999978</v>
      </c>
    </row>
    <row r="130" spans="1:9" ht="15.75" x14ac:dyDescent="0.25">
      <c r="A130" s="15" t="s">
        <v>272</v>
      </c>
      <c r="B130" s="12">
        <v>2202119</v>
      </c>
      <c r="C130" s="12">
        <v>800</v>
      </c>
      <c r="D130" s="29">
        <f>D131+D132</f>
        <v>0</v>
      </c>
      <c r="E130" s="40">
        <f t="shared" si="9"/>
        <v>22</v>
      </c>
      <c r="F130" s="171">
        <f>F131+F132</f>
        <v>22</v>
      </c>
      <c r="G130" s="171">
        <f>G131+G132</f>
        <v>20.83</v>
      </c>
      <c r="H130" s="178">
        <f t="shared" si="12"/>
        <v>94.681818181818173</v>
      </c>
      <c r="I130" s="179">
        <f t="shared" si="13"/>
        <v>1.1700000000000017</v>
      </c>
    </row>
    <row r="131" spans="1:9" ht="15.75" x14ac:dyDescent="0.25">
      <c r="A131" s="15" t="s">
        <v>273</v>
      </c>
      <c r="B131" s="12">
        <v>2202119</v>
      </c>
      <c r="C131" s="12">
        <v>830</v>
      </c>
      <c r="D131" s="29">
        <v>0</v>
      </c>
      <c r="E131" s="40">
        <f t="shared" si="9"/>
        <v>10</v>
      </c>
      <c r="F131" s="171">
        <v>10</v>
      </c>
      <c r="G131" s="171">
        <v>10</v>
      </c>
      <c r="H131" s="178">
        <f t="shared" si="12"/>
        <v>100</v>
      </c>
      <c r="I131" s="179">
        <f t="shared" si="13"/>
        <v>0</v>
      </c>
    </row>
    <row r="132" spans="1:9" ht="15.75" x14ac:dyDescent="0.25">
      <c r="A132" s="15" t="s">
        <v>274</v>
      </c>
      <c r="B132" s="12">
        <v>2202119</v>
      </c>
      <c r="C132" s="12">
        <v>850</v>
      </c>
      <c r="D132" s="29">
        <v>0</v>
      </c>
      <c r="E132" s="40">
        <f t="shared" si="9"/>
        <v>12</v>
      </c>
      <c r="F132" s="171">
        <v>12</v>
      </c>
      <c r="G132" s="171">
        <v>10.83</v>
      </c>
      <c r="H132" s="178">
        <f t="shared" si="12"/>
        <v>90.25</v>
      </c>
      <c r="I132" s="179">
        <f t="shared" si="13"/>
        <v>1.17</v>
      </c>
    </row>
    <row r="133" spans="1:9" ht="15.75" x14ac:dyDescent="0.25">
      <c r="A133" s="15" t="s">
        <v>100</v>
      </c>
      <c r="B133" s="13">
        <v>2207080</v>
      </c>
      <c r="C133" s="12"/>
      <c r="D133" s="8">
        <f>D134</f>
        <v>29.2</v>
      </c>
      <c r="E133" s="40">
        <f t="shared" si="9"/>
        <v>1.9999999999999574E-2</v>
      </c>
      <c r="F133" s="168">
        <f>F134</f>
        <v>29.22</v>
      </c>
      <c r="G133" s="168">
        <f>G134</f>
        <v>29.22</v>
      </c>
      <c r="H133" s="178">
        <f t="shared" si="12"/>
        <v>100</v>
      </c>
      <c r="I133" s="179">
        <f t="shared" si="13"/>
        <v>0</v>
      </c>
    </row>
    <row r="134" spans="1:9" ht="15.75" x14ac:dyDescent="0.25">
      <c r="A134" s="15" t="s">
        <v>101</v>
      </c>
      <c r="B134" s="13">
        <v>2207080</v>
      </c>
      <c r="C134" s="12">
        <v>500</v>
      </c>
      <c r="D134" s="8">
        <f>D135</f>
        <v>29.2</v>
      </c>
      <c r="E134" s="40">
        <f t="shared" si="9"/>
        <v>1.9999999999999574E-2</v>
      </c>
      <c r="F134" s="168">
        <f>F135</f>
        <v>29.22</v>
      </c>
      <c r="G134" s="168">
        <f>G135</f>
        <v>29.22</v>
      </c>
      <c r="H134" s="178">
        <f t="shared" si="12"/>
        <v>100</v>
      </c>
      <c r="I134" s="179">
        <f t="shared" si="13"/>
        <v>0</v>
      </c>
    </row>
    <row r="135" spans="1:9" ht="15.75" x14ac:dyDescent="0.25">
      <c r="A135" s="15" t="s">
        <v>102</v>
      </c>
      <c r="B135" s="13">
        <v>2207080</v>
      </c>
      <c r="C135" s="12">
        <v>540</v>
      </c>
      <c r="D135" s="8">
        <v>29.2</v>
      </c>
      <c r="E135" s="40">
        <f t="shared" si="9"/>
        <v>1.9999999999999574E-2</v>
      </c>
      <c r="F135" s="168">
        <v>29.22</v>
      </c>
      <c r="G135" s="168">
        <v>29.22</v>
      </c>
      <c r="H135" s="178">
        <f t="shared" si="12"/>
        <v>100</v>
      </c>
      <c r="I135" s="179">
        <f t="shared" si="13"/>
        <v>0</v>
      </c>
    </row>
    <row r="136" spans="1:9" ht="63" x14ac:dyDescent="0.25">
      <c r="A136" s="43" t="s">
        <v>76</v>
      </c>
      <c r="B136" s="45">
        <v>2300000</v>
      </c>
      <c r="C136" s="45"/>
      <c r="D136" s="46">
        <f>D137</f>
        <v>5</v>
      </c>
      <c r="E136" s="47">
        <f t="shared" si="9"/>
        <v>-3.2</v>
      </c>
      <c r="F136" s="167">
        <f t="shared" ref="F136:G139" si="14">F137</f>
        <v>1.8</v>
      </c>
      <c r="G136" s="167">
        <f t="shared" si="14"/>
        <v>1.8</v>
      </c>
      <c r="H136" s="221">
        <f t="shared" si="12"/>
        <v>100</v>
      </c>
      <c r="I136" s="222">
        <f t="shared" si="13"/>
        <v>0</v>
      </c>
    </row>
    <row r="137" spans="1:9" ht="15.75" x14ac:dyDescent="0.25">
      <c r="A137" s="49" t="s">
        <v>77</v>
      </c>
      <c r="B137" s="51">
        <v>2310000</v>
      </c>
      <c r="C137" s="51"/>
      <c r="D137" s="52">
        <f>D138</f>
        <v>5</v>
      </c>
      <c r="E137" s="55">
        <f t="shared" si="9"/>
        <v>-3.2</v>
      </c>
      <c r="F137" s="169">
        <f t="shared" si="14"/>
        <v>1.8</v>
      </c>
      <c r="G137" s="169">
        <f t="shared" si="14"/>
        <v>1.8</v>
      </c>
      <c r="H137" s="223">
        <f t="shared" si="12"/>
        <v>100</v>
      </c>
      <c r="I137" s="224">
        <f t="shared" si="13"/>
        <v>0</v>
      </c>
    </row>
    <row r="138" spans="1:9" ht="31.5" x14ac:dyDescent="0.25">
      <c r="A138" s="15" t="s">
        <v>78</v>
      </c>
      <c r="B138" s="12">
        <v>2312134</v>
      </c>
      <c r="C138" s="12"/>
      <c r="D138" s="8">
        <f>D139</f>
        <v>5</v>
      </c>
      <c r="E138" s="40">
        <f t="shared" si="9"/>
        <v>-3.2</v>
      </c>
      <c r="F138" s="168">
        <f t="shared" si="14"/>
        <v>1.8</v>
      </c>
      <c r="G138" s="168">
        <f t="shared" si="14"/>
        <v>1.8</v>
      </c>
      <c r="H138" s="178">
        <f t="shared" si="12"/>
        <v>100</v>
      </c>
      <c r="I138" s="179">
        <f t="shared" si="13"/>
        <v>0</v>
      </c>
    </row>
    <row r="139" spans="1:9" ht="31.5" x14ac:dyDescent="0.25">
      <c r="A139" s="15" t="s">
        <v>61</v>
      </c>
      <c r="B139" s="12">
        <v>2312134</v>
      </c>
      <c r="C139" s="12">
        <v>200</v>
      </c>
      <c r="D139" s="8">
        <f>D140</f>
        <v>5</v>
      </c>
      <c r="E139" s="40">
        <f t="shared" si="9"/>
        <v>-3.2</v>
      </c>
      <c r="F139" s="168">
        <f t="shared" si="14"/>
        <v>1.8</v>
      </c>
      <c r="G139" s="168">
        <f t="shared" si="14"/>
        <v>1.8</v>
      </c>
      <c r="H139" s="178">
        <f t="shared" si="12"/>
        <v>100</v>
      </c>
      <c r="I139" s="179">
        <f t="shared" si="13"/>
        <v>0</v>
      </c>
    </row>
    <row r="140" spans="1:9" ht="31.5" x14ac:dyDescent="0.25">
      <c r="A140" s="15" t="s">
        <v>62</v>
      </c>
      <c r="B140" s="12">
        <v>2312134</v>
      </c>
      <c r="C140" s="12">
        <v>240</v>
      </c>
      <c r="D140" s="8">
        <v>5</v>
      </c>
      <c r="E140" s="40">
        <f t="shared" si="9"/>
        <v>-3.2</v>
      </c>
      <c r="F140" s="168">
        <v>1.8</v>
      </c>
      <c r="G140" s="168">
        <v>1.8</v>
      </c>
      <c r="H140" s="178">
        <f t="shared" si="12"/>
        <v>100</v>
      </c>
      <c r="I140" s="179">
        <f t="shared" si="13"/>
        <v>0</v>
      </c>
    </row>
    <row r="141" spans="1:9" ht="47.25" x14ac:dyDescent="0.25">
      <c r="A141" s="43" t="s">
        <v>54</v>
      </c>
      <c r="B141" s="48">
        <v>2500000</v>
      </c>
      <c r="C141" s="48"/>
      <c r="D141" s="46">
        <f>D142</f>
        <v>11875.400000000001</v>
      </c>
      <c r="E141" s="47">
        <f t="shared" si="9"/>
        <v>171.48999999999796</v>
      </c>
      <c r="F141" s="167">
        <f>F142</f>
        <v>12046.89</v>
      </c>
      <c r="G141" s="167">
        <f>G142</f>
        <v>11864.539999999999</v>
      </c>
      <c r="H141" s="221">
        <f t="shared" si="12"/>
        <v>98.486331327006383</v>
      </c>
      <c r="I141" s="222">
        <f t="shared" si="13"/>
        <v>182.35000000000036</v>
      </c>
    </row>
    <row r="142" spans="1:9" ht="31.5" x14ac:dyDescent="0.25">
      <c r="A142" s="49" t="s">
        <v>55</v>
      </c>
      <c r="B142" s="53">
        <v>2510000</v>
      </c>
      <c r="C142" s="53"/>
      <c r="D142" s="52">
        <f>D150+D157+D163+D166+D143</f>
        <v>11875.400000000001</v>
      </c>
      <c r="E142" s="55">
        <f t="shared" si="9"/>
        <v>171.48999999999796</v>
      </c>
      <c r="F142" s="169">
        <f>F150+F157+F163+F166+F143</f>
        <v>12046.89</v>
      </c>
      <c r="G142" s="169">
        <f>G150+G157+G163+G166+G143</f>
        <v>11864.539999999999</v>
      </c>
      <c r="H142" s="223">
        <f t="shared" si="12"/>
        <v>98.486331327006383</v>
      </c>
      <c r="I142" s="224">
        <f t="shared" si="13"/>
        <v>182.35000000000036</v>
      </c>
    </row>
    <row r="143" spans="1:9" s="95" customFormat="1" ht="43.5" customHeight="1" x14ac:dyDescent="0.25">
      <c r="A143" s="16" t="s">
        <v>275</v>
      </c>
      <c r="B143" s="99">
        <v>2510059</v>
      </c>
      <c r="C143" s="99"/>
      <c r="D143" s="100">
        <f>D144+D146+D148</f>
        <v>0</v>
      </c>
      <c r="E143" s="96">
        <f t="shared" si="9"/>
        <v>484.79999999999995</v>
      </c>
      <c r="F143" s="142">
        <f>F144+F146+F148</f>
        <v>484.79999999999995</v>
      </c>
      <c r="G143" s="142">
        <f>G144+G146+G148</f>
        <v>345.96999999999997</v>
      </c>
      <c r="H143" s="178">
        <f t="shared" si="12"/>
        <v>71.363448844884488</v>
      </c>
      <c r="I143" s="179">
        <f t="shared" si="13"/>
        <v>138.82999999999998</v>
      </c>
    </row>
    <row r="144" spans="1:9" s="95" customFormat="1" ht="63" x14ac:dyDescent="0.25">
      <c r="A144" s="15" t="s">
        <v>237</v>
      </c>
      <c r="B144" s="99">
        <v>2510059</v>
      </c>
      <c r="C144" s="99">
        <v>100</v>
      </c>
      <c r="D144" s="100">
        <f>D145</f>
        <v>0</v>
      </c>
      <c r="E144" s="96">
        <f t="shared" si="9"/>
        <v>323.39999999999998</v>
      </c>
      <c r="F144" s="142">
        <f>F145</f>
        <v>323.39999999999998</v>
      </c>
      <c r="G144" s="142">
        <f>G145</f>
        <v>251.16</v>
      </c>
      <c r="H144" s="178">
        <f t="shared" si="12"/>
        <v>77.662337662337663</v>
      </c>
      <c r="I144" s="179">
        <f t="shared" si="13"/>
        <v>72.239999999999981</v>
      </c>
    </row>
    <row r="145" spans="1:9" s="95" customFormat="1" ht="15.75" x14ac:dyDescent="0.25">
      <c r="A145" s="15" t="s">
        <v>257</v>
      </c>
      <c r="B145" s="99">
        <v>2510059</v>
      </c>
      <c r="C145" s="99">
        <v>110</v>
      </c>
      <c r="D145" s="100"/>
      <c r="E145" s="96">
        <f t="shared" si="9"/>
        <v>323.39999999999998</v>
      </c>
      <c r="F145" s="142">
        <v>323.39999999999998</v>
      </c>
      <c r="G145" s="142">
        <v>251.16</v>
      </c>
      <c r="H145" s="178">
        <f t="shared" si="12"/>
        <v>77.662337662337663</v>
      </c>
      <c r="I145" s="179">
        <f t="shared" si="13"/>
        <v>72.239999999999981</v>
      </c>
    </row>
    <row r="146" spans="1:9" s="95" customFormat="1" ht="31.5" x14ac:dyDescent="0.25">
      <c r="A146" s="15" t="s">
        <v>61</v>
      </c>
      <c r="B146" s="99">
        <v>2510059</v>
      </c>
      <c r="C146" s="99">
        <v>200</v>
      </c>
      <c r="D146" s="100">
        <f>D147</f>
        <v>0</v>
      </c>
      <c r="E146" s="96">
        <f t="shared" si="9"/>
        <v>159.4</v>
      </c>
      <c r="F146" s="142">
        <f>F147</f>
        <v>159.4</v>
      </c>
      <c r="G146" s="142">
        <f>G147</f>
        <v>94.16</v>
      </c>
      <c r="H146" s="178">
        <f t="shared" si="12"/>
        <v>59.071518193224591</v>
      </c>
      <c r="I146" s="179">
        <f t="shared" si="13"/>
        <v>65.240000000000009</v>
      </c>
    </row>
    <row r="147" spans="1:9" s="95" customFormat="1" ht="31.5" x14ac:dyDescent="0.25">
      <c r="A147" s="15" t="s">
        <v>62</v>
      </c>
      <c r="B147" s="99">
        <v>2510059</v>
      </c>
      <c r="C147" s="99">
        <v>240</v>
      </c>
      <c r="D147" s="100"/>
      <c r="E147" s="96">
        <f t="shared" si="9"/>
        <v>159.4</v>
      </c>
      <c r="F147" s="142">
        <v>159.4</v>
      </c>
      <c r="G147" s="142">
        <v>94.16</v>
      </c>
      <c r="H147" s="178">
        <f t="shared" si="12"/>
        <v>59.071518193224591</v>
      </c>
      <c r="I147" s="179">
        <f t="shared" si="13"/>
        <v>65.240000000000009</v>
      </c>
    </row>
    <row r="148" spans="1:9" s="95" customFormat="1" ht="15.75" x14ac:dyDescent="0.25">
      <c r="A148" s="15" t="s">
        <v>272</v>
      </c>
      <c r="B148" s="99">
        <v>2510059</v>
      </c>
      <c r="C148" s="99">
        <v>800</v>
      </c>
      <c r="D148" s="100">
        <f>D149</f>
        <v>0</v>
      </c>
      <c r="E148" s="96">
        <f t="shared" si="9"/>
        <v>2</v>
      </c>
      <c r="F148" s="142">
        <f>F149</f>
        <v>2</v>
      </c>
      <c r="G148" s="142">
        <f>G149</f>
        <v>0.65</v>
      </c>
      <c r="H148" s="178">
        <f t="shared" si="12"/>
        <v>32.5</v>
      </c>
      <c r="I148" s="179">
        <f t="shared" si="13"/>
        <v>1.35</v>
      </c>
    </row>
    <row r="149" spans="1:9" s="95" customFormat="1" ht="15.75" x14ac:dyDescent="0.25">
      <c r="A149" s="15" t="s">
        <v>274</v>
      </c>
      <c r="B149" s="99">
        <v>2510059</v>
      </c>
      <c r="C149" s="99">
        <v>850</v>
      </c>
      <c r="D149" s="100"/>
      <c r="E149" s="96">
        <f t="shared" si="9"/>
        <v>2</v>
      </c>
      <c r="F149" s="142">
        <v>2</v>
      </c>
      <c r="G149" s="142">
        <v>0.65</v>
      </c>
      <c r="H149" s="178">
        <f t="shared" si="12"/>
        <v>32.5</v>
      </c>
      <c r="I149" s="179">
        <f t="shared" si="13"/>
        <v>1.35</v>
      </c>
    </row>
    <row r="150" spans="1:9" ht="15.75" x14ac:dyDescent="0.25">
      <c r="A150" s="17" t="s">
        <v>60</v>
      </c>
      <c r="B150" s="10">
        <v>2510204</v>
      </c>
      <c r="C150" s="10"/>
      <c r="D150" s="11">
        <f>D151+D153+D155</f>
        <v>9737.7000000000007</v>
      </c>
      <c r="E150" s="60">
        <f t="shared" si="9"/>
        <v>-28.100000000000364</v>
      </c>
      <c r="F150" s="176">
        <f>F151+F153+F155</f>
        <v>9709.6</v>
      </c>
      <c r="G150" s="176">
        <f>G151+G153+G155</f>
        <v>9680.1099999999988</v>
      </c>
      <c r="H150" s="178">
        <f t="shared" si="12"/>
        <v>99.696279970338622</v>
      </c>
      <c r="I150" s="179">
        <f t="shared" si="13"/>
        <v>29.490000000001601</v>
      </c>
    </row>
    <row r="151" spans="1:9" ht="63" x14ac:dyDescent="0.25">
      <c r="A151" s="15" t="s">
        <v>57</v>
      </c>
      <c r="B151" s="6">
        <v>2510204</v>
      </c>
      <c r="C151" s="6">
        <v>100</v>
      </c>
      <c r="D151" s="8">
        <f>D152</f>
        <v>9536.2000000000007</v>
      </c>
      <c r="E151" s="60">
        <f t="shared" si="9"/>
        <v>-46</v>
      </c>
      <c r="F151" s="168">
        <f>F152</f>
        <v>9490.2000000000007</v>
      </c>
      <c r="G151" s="168">
        <f>G152</f>
        <v>9468.9599999999991</v>
      </c>
      <c r="H151" s="178">
        <f t="shared" si="12"/>
        <v>99.776190175128008</v>
      </c>
      <c r="I151" s="179">
        <f t="shared" si="13"/>
        <v>21.240000000001601</v>
      </c>
    </row>
    <row r="152" spans="1:9" ht="31.5" x14ac:dyDescent="0.25">
      <c r="A152" s="15" t="s">
        <v>58</v>
      </c>
      <c r="B152" s="6">
        <v>2510204</v>
      </c>
      <c r="C152" s="6">
        <v>120</v>
      </c>
      <c r="D152" s="8">
        <v>9536.2000000000007</v>
      </c>
      <c r="E152" s="60">
        <f t="shared" si="9"/>
        <v>-46</v>
      </c>
      <c r="F152" s="168">
        <v>9490.2000000000007</v>
      </c>
      <c r="G152" s="168">
        <v>9468.9599999999991</v>
      </c>
      <c r="H152" s="178">
        <f t="shared" si="12"/>
        <v>99.776190175128008</v>
      </c>
      <c r="I152" s="179">
        <f t="shared" si="13"/>
        <v>21.240000000001601</v>
      </c>
    </row>
    <row r="153" spans="1:9" ht="31.5" x14ac:dyDescent="0.25">
      <c r="A153" s="15" t="s">
        <v>61</v>
      </c>
      <c r="B153" s="6">
        <v>2510204</v>
      </c>
      <c r="C153" s="6">
        <v>200</v>
      </c>
      <c r="D153" s="8">
        <f>D154</f>
        <v>184</v>
      </c>
      <c r="E153" s="60">
        <f t="shared" si="9"/>
        <v>-33.099999999999994</v>
      </c>
      <c r="F153" s="168">
        <f>F154</f>
        <v>150.9</v>
      </c>
      <c r="G153" s="168">
        <f>G154</f>
        <v>143.08000000000001</v>
      </c>
      <c r="H153" s="178">
        <f t="shared" si="12"/>
        <v>94.817760106030491</v>
      </c>
      <c r="I153" s="179">
        <f t="shared" si="13"/>
        <v>7.8199999999999932</v>
      </c>
    </row>
    <row r="154" spans="1:9" ht="31.5" x14ac:dyDescent="0.25">
      <c r="A154" s="15" t="s">
        <v>62</v>
      </c>
      <c r="B154" s="6">
        <v>2510204</v>
      </c>
      <c r="C154" s="6">
        <v>240</v>
      </c>
      <c r="D154" s="8">
        <v>184</v>
      </c>
      <c r="E154" s="60">
        <f t="shared" si="9"/>
        <v>-33.099999999999994</v>
      </c>
      <c r="F154" s="168">
        <v>150.9</v>
      </c>
      <c r="G154" s="168">
        <v>143.08000000000001</v>
      </c>
      <c r="H154" s="178">
        <f t="shared" si="12"/>
        <v>94.817760106030491</v>
      </c>
      <c r="I154" s="179">
        <f t="shared" si="13"/>
        <v>7.8199999999999932</v>
      </c>
    </row>
    <row r="155" spans="1:9" ht="15.75" x14ac:dyDescent="0.25">
      <c r="A155" s="15" t="s">
        <v>63</v>
      </c>
      <c r="B155" s="12">
        <v>2510204</v>
      </c>
      <c r="C155" s="12">
        <v>800</v>
      </c>
      <c r="D155" s="8">
        <f>D156</f>
        <v>17.5</v>
      </c>
      <c r="E155" s="60">
        <f t="shared" si="9"/>
        <v>51</v>
      </c>
      <c r="F155" s="168">
        <f>F156</f>
        <v>68.5</v>
      </c>
      <c r="G155" s="168">
        <f>G156</f>
        <v>68.069999999999993</v>
      </c>
      <c r="H155" s="178">
        <f t="shared" si="12"/>
        <v>99.372262773722625</v>
      </c>
      <c r="I155" s="179">
        <f t="shared" si="13"/>
        <v>0.43000000000000682</v>
      </c>
    </row>
    <row r="156" spans="1:9" ht="15.75" x14ac:dyDescent="0.25">
      <c r="A156" s="15" t="s">
        <v>64</v>
      </c>
      <c r="B156" s="12">
        <v>2510204</v>
      </c>
      <c r="C156" s="12">
        <v>850</v>
      </c>
      <c r="D156" s="8">
        <v>17.5</v>
      </c>
      <c r="E156" s="60">
        <f t="shared" si="9"/>
        <v>51</v>
      </c>
      <c r="F156" s="168">
        <v>68.5</v>
      </c>
      <c r="G156" s="168">
        <v>68.069999999999993</v>
      </c>
      <c r="H156" s="178">
        <f t="shared" si="12"/>
        <v>99.372262773722625</v>
      </c>
      <c r="I156" s="179">
        <f t="shared" si="13"/>
        <v>0.43000000000000682</v>
      </c>
    </row>
    <row r="157" spans="1:9" ht="15.75" x14ac:dyDescent="0.25">
      <c r="A157" s="15" t="s">
        <v>79</v>
      </c>
      <c r="B157" s="12">
        <v>2510240</v>
      </c>
      <c r="C157" s="12"/>
      <c r="D157" s="8">
        <f>D158+D161</f>
        <v>556.1</v>
      </c>
      <c r="E157" s="60">
        <f t="shared" si="9"/>
        <v>-303.3</v>
      </c>
      <c r="F157" s="168">
        <f>F158+F161</f>
        <v>252.8</v>
      </c>
      <c r="G157" s="168">
        <f>G158+G161</f>
        <v>238.77</v>
      </c>
      <c r="H157" s="178">
        <f t="shared" si="12"/>
        <v>94.450158227848107</v>
      </c>
      <c r="I157" s="179">
        <f t="shared" si="13"/>
        <v>14.030000000000001</v>
      </c>
    </row>
    <row r="158" spans="1:9" ht="63" x14ac:dyDescent="0.25">
      <c r="A158" s="15" t="s">
        <v>57</v>
      </c>
      <c r="B158" s="12">
        <v>2510240</v>
      </c>
      <c r="C158" s="12">
        <v>100</v>
      </c>
      <c r="D158" s="8">
        <f>D159+D160</f>
        <v>406.1</v>
      </c>
      <c r="E158" s="60">
        <f t="shared" si="9"/>
        <v>-267.5</v>
      </c>
      <c r="F158" s="168">
        <f>F159+F160</f>
        <v>138.60000000000002</v>
      </c>
      <c r="G158" s="168">
        <f>G159+G160</f>
        <v>134.61000000000001</v>
      </c>
      <c r="H158" s="178">
        <f t="shared" si="12"/>
        <v>97.121212121212125</v>
      </c>
      <c r="I158" s="179">
        <f t="shared" si="13"/>
        <v>3.9900000000000091</v>
      </c>
    </row>
    <row r="159" spans="1:9" ht="15.75" x14ac:dyDescent="0.25">
      <c r="A159" s="15" t="s">
        <v>80</v>
      </c>
      <c r="B159" s="12">
        <v>2510240</v>
      </c>
      <c r="C159" s="12">
        <v>110</v>
      </c>
      <c r="D159" s="8">
        <v>30</v>
      </c>
      <c r="E159" s="60">
        <f t="shared" si="9"/>
        <v>-20.7</v>
      </c>
      <c r="F159" s="168">
        <v>9.3000000000000007</v>
      </c>
      <c r="G159" s="168">
        <v>9.3000000000000007</v>
      </c>
      <c r="H159" s="178">
        <f t="shared" si="12"/>
        <v>100</v>
      </c>
      <c r="I159" s="179">
        <f t="shared" si="13"/>
        <v>0</v>
      </c>
    </row>
    <row r="160" spans="1:9" ht="31.5" x14ac:dyDescent="0.25">
      <c r="A160" s="15" t="s">
        <v>58</v>
      </c>
      <c r="B160" s="12">
        <v>2510240</v>
      </c>
      <c r="C160" s="12">
        <v>120</v>
      </c>
      <c r="D160" s="8">
        <v>376.1</v>
      </c>
      <c r="E160" s="60">
        <f t="shared" si="9"/>
        <v>-246.8</v>
      </c>
      <c r="F160" s="168">
        <v>129.30000000000001</v>
      </c>
      <c r="G160" s="168">
        <v>125.31</v>
      </c>
      <c r="H160" s="178">
        <f t="shared" si="12"/>
        <v>96.914153132250576</v>
      </c>
      <c r="I160" s="179">
        <f t="shared" si="13"/>
        <v>3.9900000000000091</v>
      </c>
    </row>
    <row r="161" spans="1:9" ht="31.5" x14ac:dyDescent="0.25">
      <c r="A161" s="15" t="s">
        <v>61</v>
      </c>
      <c r="B161" s="12">
        <v>2510240</v>
      </c>
      <c r="C161" s="12">
        <v>200</v>
      </c>
      <c r="D161" s="8">
        <f>D162</f>
        <v>150</v>
      </c>
      <c r="E161" s="60">
        <f t="shared" si="9"/>
        <v>-35.799999999999997</v>
      </c>
      <c r="F161" s="168">
        <f>F162</f>
        <v>114.2</v>
      </c>
      <c r="G161" s="168">
        <f>G162</f>
        <v>104.16</v>
      </c>
      <c r="H161" s="178">
        <f t="shared" si="12"/>
        <v>91.208406304728541</v>
      </c>
      <c r="I161" s="179">
        <f t="shared" si="13"/>
        <v>10.040000000000006</v>
      </c>
    </row>
    <row r="162" spans="1:9" ht="31.5" x14ac:dyDescent="0.25">
      <c r="A162" s="15" t="s">
        <v>62</v>
      </c>
      <c r="B162" s="12">
        <v>2510240</v>
      </c>
      <c r="C162" s="12">
        <v>240</v>
      </c>
      <c r="D162" s="8">
        <v>150</v>
      </c>
      <c r="E162" s="60">
        <f t="shared" si="9"/>
        <v>-35.799999999999997</v>
      </c>
      <c r="F162" s="168">
        <v>114.2</v>
      </c>
      <c r="G162" s="168">
        <v>104.16</v>
      </c>
      <c r="H162" s="178">
        <f t="shared" si="12"/>
        <v>91.208406304728541</v>
      </c>
      <c r="I162" s="179">
        <f t="shared" si="13"/>
        <v>10.040000000000006</v>
      </c>
    </row>
    <row r="163" spans="1:9" ht="15.75" x14ac:dyDescent="0.25">
      <c r="A163" s="15" t="s">
        <v>56</v>
      </c>
      <c r="B163" s="6">
        <v>2517040</v>
      </c>
      <c r="C163" s="6"/>
      <c r="D163" s="8">
        <f>D164</f>
        <v>1571.1</v>
      </c>
      <c r="E163" s="60">
        <f t="shared" si="9"/>
        <v>18.090000000000146</v>
      </c>
      <c r="F163" s="168">
        <f>F164</f>
        <v>1589.19</v>
      </c>
      <c r="G163" s="168">
        <f>G164</f>
        <v>1589.19</v>
      </c>
      <c r="H163" s="178">
        <f t="shared" si="12"/>
        <v>100</v>
      </c>
      <c r="I163" s="179">
        <f t="shared" si="13"/>
        <v>0</v>
      </c>
    </row>
    <row r="164" spans="1:9" ht="63" x14ac:dyDescent="0.25">
      <c r="A164" s="15" t="s">
        <v>57</v>
      </c>
      <c r="B164" s="6">
        <v>2517040</v>
      </c>
      <c r="C164" s="6">
        <v>100</v>
      </c>
      <c r="D164" s="8">
        <f>D165</f>
        <v>1571.1</v>
      </c>
      <c r="E164" s="60">
        <f t="shared" si="9"/>
        <v>18.090000000000146</v>
      </c>
      <c r="F164" s="168">
        <f>F165</f>
        <v>1589.19</v>
      </c>
      <c r="G164" s="168">
        <f>G165</f>
        <v>1589.19</v>
      </c>
      <c r="H164" s="178">
        <f t="shared" si="12"/>
        <v>100</v>
      </c>
      <c r="I164" s="179">
        <f t="shared" si="13"/>
        <v>0</v>
      </c>
    </row>
    <row r="165" spans="1:9" ht="31.5" x14ac:dyDescent="0.25">
      <c r="A165" s="15" t="s">
        <v>58</v>
      </c>
      <c r="B165" s="6">
        <v>2517040</v>
      </c>
      <c r="C165" s="6">
        <v>120</v>
      </c>
      <c r="D165" s="8">
        <v>1571.1</v>
      </c>
      <c r="E165" s="60">
        <f t="shared" si="9"/>
        <v>18.090000000000146</v>
      </c>
      <c r="F165" s="168">
        <v>1589.19</v>
      </c>
      <c r="G165" s="168">
        <v>1589.19</v>
      </c>
      <c r="H165" s="178">
        <f t="shared" si="12"/>
        <v>100</v>
      </c>
      <c r="I165" s="179">
        <f t="shared" si="13"/>
        <v>0</v>
      </c>
    </row>
    <row r="166" spans="1:9" ht="15.75" x14ac:dyDescent="0.25">
      <c r="A166" s="15" t="s">
        <v>100</v>
      </c>
      <c r="B166" s="13">
        <v>2517080</v>
      </c>
      <c r="C166" s="12"/>
      <c r="D166" s="8">
        <f>D167</f>
        <v>10.5</v>
      </c>
      <c r="E166" s="60">
        <f t="shared" si="9"/>
        <v>0</v>
      </c>
      <c r="F166" s="168">
        <f>F167</f>
        <v>10.5</v>
      </c>
      <c r="G166" s="168">
        <f>G167</f>
        <v>10.5</v>
      </c>
      <c r="H166" s="178">
        <f t="shared" si="12"/>
        <v>100</v>
      </c>
      <c r="I166" s="179">
        <f t="shared" si="13"/>
        <v>0</v>
      </c>
    </row>
    <row r="167" spans="1:9" ht="15.75" x14ac:dyDescent="0.25">
      <c r="A167" s="15" t="s">
        <v>101</v>
      </c>
      <c r="B167" s="13">
        <v>2517080</v>
      </c>
      <c r="C167" s="12">
        <v>500</v>
      </c>
      <c r="D167" s="8">
        <f>D168</f>
        <v>10.5</v>
      </c>
      <c r="E167" s="60">
        <f t="shared" si="9"/>
        <v>0</v>
      </c>
      <c r="F167" s="168">
        <f>F168</f>
        <v>10.5</v>
      </c>
      <c r="G167" s="168">
        <f>G168</f>
        <v>10.5</v>
      </c>
      <c r="H167" s="178">
        <f t="shared" si="12"/>
        <v>100</v>
      </c>
      <c r="I167" s="179">
        <f t="shared" si="13"/>
        <v>0</v>
      </c>
    </row>
    <row r="168" spans="1:9" ht="15.75" x14ac:dyDescent="0.25">
      <c r="A168" s="15" t="s">
        <v>102</v>
      </c>
      <c r="B168" s="12">
        <v>2517080</v>
      </c>
      <c r="C168" s="12">
        <v>540</v>
      </c>
      <c r="D168" s="8">
        <v>10.5</v>
      </c>
      <c r="E168" s="60">
        <f t="shared" si="9"/>
        <v>0</v>
      </c>
      <c r="F168" s="168">
        <v>10.5</v>
      </c>
      <c r="G168" s="168">
        <v>10.5</v>
      </c>
      <c r="H168" s="178">
        <f t="shared" si="12"/>
        <v>100</v>
      </c>
      <c r="I168" s="179">
        <f t="shared" si="13"/>
        <v>0</v>
      </c>
    </row>
    <row r="169" spans="1:9" ht="43.5" customHeight="1" x14ac:dyDescent="0.25">
      <c r="A169" s="108" t="s">
        <v>261</v>
      </c>
      <c r="B169" s="110">
        <v>3300000</v>
      </c>
      <c r="C169" s="110"/>
      <c r="D169" s="111">
        <f t="shared" ref="D169:G171" si="15">D170</f>
        <v>184</v>
      </c>
      <c r="E169" s="47">
        <f t="shared" si="15"/>
        <v>147.30000000000001</v>
      </c>
      <c r="F169" s="172">
        <f t="shared" si="15"/>
        <v>331.3</v>
      </c>
      <c r="G169" s="172">
        <f t="shared" si="15"/>
        <v>161.63</v>
      </c>
      <c r="H169" s="221">
        <f t="shared" si="12"/>
        <v>48.786598249320853</v>
      </c>
      <c r="I169" s="222">
        <f t="shared" si="13"/>
        <v>169.67000000000002</v>
      </c>
    </row>
    <row r="170" spans="1:9" ht="15.75" x14ac:dyDescent="0.25">
      <c r="A170" s="16" t="s">
        <v>262</v>
      </c>
      <c r="B170" s="101">
        <v>3302108</v>
      </c>
      <c r="C170" s="101"/>
      <c r="D170" s="100">
        <f t="shared" si="15"/>
        <v>184</v>
      </c>
      <c r="E170" s="96">
        <f t="shared" si="15"/>
        <v>147.30000000000001</v>
      </c>
      <c r="F170" s="142">
        <f t="shared" si="15"/>
        <v>331.3</v>
      </c>
      <c r="G170" s="142">
        <f t="shared" si="15"/>
        <v>161.63</v>
      </c>
      <c r="H170" s="178">
        <f t="shared" si="12"/>
        <v>48.786598249320853</v>
      </c>
      <c r="I170" s="179">
        <f t="shared" si="13"/>
        <v>169.67000000000002</v>
      </c>
    </row>
    <row r="171" spans="1:9" ht="31.5" x14ac:dyDescent="0.25">
      <c r="A171" s="15" t="s">
        <v>221</v>
      </c>
      <c r="B171" s="12">
        <v>3302108</v>
      </c>
      <c r="C171" s="12">
        <v>200</v>
      </c>
      <c r="D171" s="8">
        <f t="shared" si="15"/>
        <v>184</v>
      </c>
      <c r="E171" s="60">
        <f t="shared" si="15"/>
        <v>147.30000000000001</v>
      </c>
      <c r="F171" s="168">
        <f t="shared" si="15"/>
        <v>331.3</v>
      </c>
      <c r="G171" s="168">
        <f t="shared" si="15"/>
        <v>161.63</v>
      </c>
      <c r="H171" s="178">
        <f t="shared" si="12"/>
        <v>48.786598249320853</v>
      </c>
      <c r="I171" s="179">
        <f t="shared" si="13"/>
        <v>169.67000000000002</v>
      </c>
    </row>
    <row r="172" spans="1:9" ht="38.25" customHeight="1" x14ac:dyDescent="0.25">
      <c r="A172" s="15" t="s">
        <v>62</v>
      </c>
      <c r="B172" s="12">
        <v>3302108</v>
      </c>
      <c r="C172" s="12">
        <v>240</v>
      </c>
      <c r="D172" s="8">
        <v>184</v>
      </c>
      <c r="E172" s="60">
        <f>F172-D172</f>
        <v>147.30000000000001</v>
      </c>
      <c r="F172" s="168">
        <v>331.3</v>
      </c>
      <c r="G172" s="168">
        <v>161.63</v>
      </c>
      <c r="H172" s="178">
        <f t="shared" si="12"/>
        <v>48.786598249320853</v>
      </c>
      <c r="I172" s="179">
        <f t="shared" si="13"/>
        <v>169.67000000000002</v>
      </c>
    </row>
    <row r="173" spans="1:9" ht="15.75" x14ac:dyDescent="0.25">
      <c r="A173" s="43" t="s">
        <v>81</v>
      </c>
      <c r="B173" s="45">
        <v>5000000</v>
      </c>
      <c r="C173" s="45"/>
      <c r="D173" s="46">
        <f>D174</f>
        <v>164</v>
      </c>
      <c r="E173" s="47">
        <f t="shared" si="9"/>
        <v>0</v>
      </c>
      <c r="F173" s="167">
        <f t="shared" ref="F173:G175" si="16">F174</f>
        <v>164</v>
      </c>
      <c r="G173" s="167">
        <f t="shared" si="16"/>
        <v>164</v>
      </c>
      <c r="H173" s="221">
        <f t="shared" si="12"/>
        <v>100</v>
      </c>
      <c r="I173" s="222">
        <f t="shared" si="13"/>
        <v>0</v>
      </c>
    </row>
    <row r="174" spans="1:9" ht="47.25" x14ac:dyDescent="0.25">
      <c r="A174" s="15" t="s">
        <v>82</v>
      </c>
      <c r="B174" s="12">
        <v>5005118</v>
      </c>
      <c r="C174" s="12"/>
      <c r="D174" s="8">
        <f>D175</f>
        <v>164</v>
      </c>
      <c r="E174" s="60">
        <f t="shared" si="9"/>
        <v>0</v>
      </c>
      <c r="F174" s="168">
        <f t="shared" si="16"/>
        <v>164</v>
      </c>
      <c r="G174" s="168">
        <f t="shared" si="16"/>
        <v>164</v>
      </c>
      <c r="H174" s="178">
        <f t="shared" si="12"/>
        <v>100</v>
      </c>
      <c r="I174" s="179">
        <f t="shared" si="13"/>
        <v>0</v>
      </c>
    </row>
    <row r="175" spans="1:9" ht="63" x14ac:dyDescent="0.25">
      <c r="A175" s="15" t="s">
        <v>57</v>
      </c>
      <c r="B175" s="12">
        <v>5005118</v>
      </c>
      <c r="C175" s="12">
        <v>100</v>
      </c>
      <c r="D175" s="8">
        <f>D176</f>
        <v>164</v>
      </c>
      <c r="E175" s="60">
        <f t="shared" si="9"/>
        <v>0</v>
      </c>
      <c r="F175" s="168">
        <f t="shared" si="16"/>
        <v>164</v>
      </c>
      <c r="G175" s="168">
        <f t="shared" si="16"/>
        <v>164</v>
      </c>
      <c r="H175" s="178">
        <f t="shared" si="12"/>
        <v>100</v>
      </c>
      <c r="I175" s="179">
        <f t="shared" si="13"/>
        <v>0</v>
      </c>
    </row>
    <row r="176" spans="1:9" ht="31.5" x14ac:dyDescent="0.25">
      <c r="A176" s="15" t="s">
        <v>58</v>
      </c>
      <c r="B176" s="12">
        <v>5005118</v>
      </c>
      <c r="C176" s="12">
        <v>120</v>
      </c>
      <c r="D176" s="8">
        <v>164</v>
      </c>
      <c r="E176" s="60">
        <f t="shared" si="9"/>
        <v>0</v>
      </c>
      <c r="F176" s="168">
        <v>164</v>
      </c>
      <c r="G176" s="168">
        <v>164</v>
      </c>
      <c r="H176" s="178">
        <f t="shared" si="12"/>
        <v>100</v>
      </c>
      <c r="I176" s="179">
        <f t="shared" si="13"/>
        <v>0</v>
      </c>
    </row>
    <row r="177" spans="1:9" ht="15.75" x14ac:dyDescent="0.25">
      <c r="A177" s="54" t="s">
        <v>24</v>
      </c>
      <c r="B177" s="34"/>
      <c r="C177" s="34"/>
      <c r="D177" s="35" t="e">
        <f>D173+D169+D141+D136+D126+D118+D113+D101+D86+D62+D57+D44+D17+D13+D7</f>
        <v>#REF!</v>
      </c>
      <c r="E177" s="38" t="e">
        <f>F177-D177</f>
        <v>#REF!</v>
      </c>
      <c r="F177" s="177">
        <f>F173+F169+F141+F136+F126+F118+F113+F101+F86+F62+F57+F44+F17+F13+F7</f>
        <v>24904.309999999998</v>
      </c>
      <c r="G177" s="177">
        <f>G173+G169+G141+G136+G126+G118+G113+G101+G86+G62+G57+G44+G17+G13+G7</f>
        <v>23650.32</v>
      </c>
      <c r="H177" s="225">
        <f t="shared" si="12"/>
        <v>94.964767142715473</v>
      </c>
      <c r="I177" s="226">
        <f t="shared" si="13"/>
        <v>1253.989999999998</v>
      </c>
    </row>
    <row r="178" spans="1:9" x14ac:dyDescent="0.25">
      <c r="A178" s="18"/>
    </row>
    <row r="179" spans="1:9" x14ac:dyDescent="0.25">
      <c r="A179" s="18"/>
      <c r="F179" s="5"/>
    </row>
  </sheetData>
  <mergeCells count="16">
    <mergeCell ref="G5:G6"/>
    <mergeCell ref="H5:H6"/>
    <mergeCell ref="I5:I6"/>
    <mergeCell ref="G1:H1"/>
    <mergeCell ref="A2:I3"/>
    <mergeCell ref="G4:H4"/>
    <mergeCell ref="E5:E6"/>
    <mergeCell ref="F5:F6"/>
    <mergeCell ref="E1:F1"/>
    <mergeCell ref="E4:F4"/>
    <mergeCell ref="C5:C6"/>
    <mergeCell ref="D5:D6"/>
    <mergeCell ref="C1:D1"/>
    <mergeCell ref="B5:B6"/>
    <mergeCell ref="A5:A6"/>
    <mergeCell ref="C4:D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4" zoomScale="75" zoomScaleNormal="75" workbookViewId="0">
      <selection activeCell="L5" sqref="L5"/>
    </sheetView>
  </sheetViews>
  <sheetFormatPr defaultRowHeight="15" x14ac:dyDescent="0.25"/>
  <cols>
    <col min="1" max="1" width="55.140625" style="4" customWidth="1"/>
    <col min="2" max="2" width="7" style="4" customWidth="1"/>
    <col min="3" max="3" width="6.7109375" style="4" customWidth="1"/>
    <col min="4" max="4" width="15.85546875" style="4" hidden="1" customWidth="1"/>
    <col min="5" max="5" width="12.140625" style="4" hidden="1" customWidth="1"/>
    <col min="6" max="6" width="14.28515625" style="4" customWidth="1"/>
    <col min="7" max="7" width="10.140625" style="4" bestFit="1" customWidth="1"/>
    <col min="8" max="8" width="9.140625" style="180"/>
    <col min="9" max="16384" width="9.140625" style="4"/>
  </cols>
  <sheetData>
    <row r="1" spans="1:10" ht="69.75" customHeight="1" x14ac:dyDescent="0.25">
      <c r="D1" s="1"/>
      <c r="E1" s="283"/>
      <c r="F1" s="283"/>
      <c r="G1" s="229"/>
      <c r="H1" s="282" t="s">
        <v>352</v>
      </c>
      <c r="I1" s="282"/>
    </row>
    <row r="2" spans="1:10" ht="32.25" customHeight="1" x14ac:dyDescent="0.25">
      <c r="A2" s="267" t="s">
        <v>117</v>
      </c>
      <c r="B2" s="267"/>
      <c r="C2" s="267"/>
      <c r="D2" s="267"/>
      <c r="E2" s="267"/>
      <c r="F2" s="267"/>
      <c r="G2" s="267"/>
      <c r="H2" s="267"/>
      <c r="I2" s="267"/>
    </row>
    <row r="3" spans="1:10" x14ac:dyDescent="0.25">
      <c r="D3" s="2"/>
      <c r="E3" s="277"/>
      <c r="F3" s="277"/>
      <c r="G3" s="277"/>
      <c r="H3" s="277"/>
      <c r="I3" s="231" t="s">
        <v>347</v>
      </c>
      <c r="J3" s="231"/>
    </row>
    <row r="4" spans="1:10" ht="39" customHeight="1" x14ac:dyDescent="0.25">
      <c r="A4" s="284" t="s">
        <v>0</v>
      </c>
      <c r="B4" s="286" t="s">
        <v>1</v>
      </c>
      <c r="C4" s="286" t="s">
        <v>2</v>
      </c>
      <c r="D4" s="274" t="s">
        <v>269</v>
      </c>
      <c r="E4" s="268" t="s">
        <v>183</v>
      </c>
      <c r="F4" s="278" t="s">
        <v>346</v>
      </c>
      <c r="G4" s="278" t="s">
        <v>345</v>
      </c>
      <c r="H4" s="280" t="s">
        <v>343</v>
      </c>
      <c r="I4" s="268" t="s">
        <v>344</v>
      </c>
    </row>
    <row r="5" spans="1:10" ht="35.25" customHeight="1" x14ac:dyDescent="0.25">
      <c r="A5" s="285"/>
      <c r="B5" s="286"/>
      <c r="C5" s="286"/>
      <c r="D5" s="274"/>
      <c r="E5" s="269"/>
      <c r="F5" s="279"/>
      <c r="G5" s="279"/>
      <c r="H5" s="281"/>
      <c r="I5" s="269"/>
    </row>
    <row r="6" spans="1:10" ht="15.75" x14ac:dyDescent="0.25">
      <c r="A6" s="58" t="s">
        <v>5</v>
      </c>
      <c r="B6" s="59" t="s">
        <v>104</v>
      </c>
      <c r="C6" s="59" t="s">
        <v>118</v>
      </c>
      <c r="D6" s="46">
        <f>D7+D8+D9+D10</f>
        <v>14820.300000000001</v>
      </c>
      <c r="E6" s="47">
        <f>F6-D6</f>
        <v>-137.34000000000015</v>
      </c>
      <c r="F6" s="167">
        <f>F7+F8+F9+F10</f>
        <v>14682.960000000001</v>
      </c>
      <c r="G6" s="181">
        <f>G7+G8+G9+G10</f>
        <v>13907.720000000001</v>
      </c>
      <c r="H6" s="221">
        <f>G6/F6*100</f>
        <v>94.720138173774231</v>
      </c>
      <c r="I6" s="228">
        <f>F6-G6</f>
        <v>775.23999999999978</v>
      </c>
    </row>
    <row r="7" spans="1:10" ht="47.25" customHeight="1" x14ac:dyDescent="0.25">
      <c r="A7" s="14" t="s">
        <v>6</v>
      </c>
      <c r="B7" s="186" t="s">
        <v>104</v>
      </c>
      <c r="C7" s="186" t="s">
        <v>105</v>
      </c>
      <c r="D7" s="187">
        <v>1571.1</v>
      </c>
      <c r="E7" s="195">
        <f t="shared" ref="E7:E31" si="0">F7-D7</f>
        <v>18.090000000000146</v>
      </c>
      <c r="F7" s="206">
        <v>1589.19</v>
      </c>
      <c r="G7" s="211">
        <v>1589.19</v>
      </c>
      <c r="H7" s="210">
        <f t="shared" ref="H7:H31" si="1">G7/F7*100</f>
        <v>100</v>
      </c>
      <c r="I7" s="211">
        <f t="shared" ref="I7:I30" si="2">F7-G7</f>
        <v>0</v>
      </c>
    </row>
    <row r="8" spans="1:10" ht="69" customHeight="1" x14ac:dyDescent="0.25">
      <c r="A8" s="16" t="s">
        <v>7</v>
      </c>
      <c r="B8" s="186" t="s">
        <v>104</v>
      </c>
      <c r="C8" s="186" t="s">
        <v>107</v>
      </c>
      <c r="D8" s="187">
        <v>9737.7000000000007</v>
      </c>
      <c r="E8" s="195">
        <f t="shared" si="0"/>
        <v>-28.100000000000364</v>
      </c>
      <c r="F8" s="206">
        <v>9709.6</v>
      </c>
      <c r="G8" s="211">
        <v>9680.1200000000008</v>
      </c>
      <c r="H8" s="210">
        <f t="shared" si="1"/>
        <v>99.696382961193052</v>
      </c>
      <c r="I8" s="211">
        <f t="shared" si="2"/>
        <v>29.479999999999563</v>
      </c>
    </row>
    <row r="9" spans="1:10" ht="16.5" customHeight="1" x14ac:dyDescent="0.25">
      <c r="A9" s="15" t="s">
        <v>8</v>
      </c>
      <c r="B9" s="186" t="s">
        <v>104</v>
      </c>
      <c r="C9" s="186">
        <v>11</v>
      </c>
      <c r="D9" s="187">
        <v>300</v>
      </c>
      <c r="E9" s="195">
        <f t="shared" si="0"/>
        <v>0</v>
      </c>
      <c r="F9" s="206">
        <v>300</v>
      </c>
      <c r="G9" s="211">
        <v>0</v>
      </c>
      <c r="H9" s="210">
        <f t="shared" si="1"/>
        <v>0</v>
      </c>
      <c r="I9" s="211">
        <f t="shared" si="2"/>
        <v>300</v>
      </c>
    </row>
    <row r="10" spans="1:10" ht="18.75" customHeight="1" x14ac:dyDescent="0.25">
      <c r="A10" s="15" t="s">
        <v>9</v>
      </c>
      <c r="B10" s="186" t="s">
        <v>104</v>
      </c>
      <c r="C10" s="186">
        <v>13</v>
      </c>
      <c r="D10" s="188">
        <v>3211.5</v>
      </c>
      <c r="E10" s="195">
        <f t="shared" si="0"/>
        <v>-127.32999999999993</v>
      </c>
      <c r="F10" s="207">
        <v>3084.17</v>
      </c>
      <c r="G10" s="211">
        <v>2638.41</v>
      </c>
      <c r="H10" s="210">
        <f t="shared" si="1"/>
        <v>85.546840803198265</v>
      </c>
      <c r="I10" s="211">
        <f t="shared" si="2"/>
        <v>445.76000000000022</v>
      </c>
    </row>
    <row r="11" spans="1:10" ht="21" customHeight="1" x14ac:dyDescent="0.25">
      <c r="A11" s="43" t="s">
        <v>10</v>
      </c>
      <c r="B11" s="59" t="s">
        <v>105</v>
      </c>
      <c r="C11" s="59"/>
      <c r="D11" s="46">
        <f>D12</f>
        <v>164</v>
      </c>
      <c r="E11" s="47">
        <f t="shared" si="0"/>
        <v>0</v>
      </c>
      <c r="F11" s="167">
        <f>F12</f>
        <v>164</v>
      </c>
      <c r="G11" s="181">
        <f>G12</f>
        <v>164</v>
      </c>
      <c r="H11" s="221">
        <f t="shared" si="1"/>
        <v>100</v>
      </c>
      <c r="I11" s="228">
        <f t="shared" si="2"/>
        <v>0</v>
      </c>
    </row>
    <row r="12" spans="1:10" ht="19.5" customHeight="1" x14ac:dyDescent="0.25">
      <c r="A12" s="15" t="s">
        <v>11</v>
      </c>
      <c r="B12" s="186" t="s">
        <v>105</v>
      </c>
      <c r="C12" s="186" t="s">
        <v>106</v>
      </c>
      <c r="D12" s="187">
        <v>164</v>
      </c>
      <c r="E12" s="195">
        <f t="shared" si="0"/>
        <v>0</v>
      </c>
      <c r="F12" s="206">
        <v>164</v>
      </c>
      <c r="G12" s="211">
        <v>164</v>
      </c>
      <c r="H12" s="210">
        <f t="shared" si="1"/>
        <v>100</v>
      </c>
      <c r="I12" s="211">
        <f t="shared" si="2"/>
        <v>0</v>
      </c>
    </row>
    <row r="13" spans="1:10" ht="37.5" customHeight="1" x14ac:dyDescent="0.25">
      <c r="A13" s="43" t="s">
        <v>12</v>
      </c>
      <c r="B13" s="194" t="s">
        <v>106</v>
      </c>
      <c r="C13" s="194"/>
      <c r="D13" s="192">
        <f>D14+D15+D16</f>
        <v>110</v>
      </c>
      <c r="E13" s="193">
        <f t="shared" si="0"/>
        <v>-51.2</v>
      </c>
      <c r="F13" s="205">
        <f>F14+F15+F16</f>
        <v>58.8</v>
      </c>
      <c r="G13" s="215">
        <f>G14+G15+G16</f>
        <v>55.6</v>
      </c>
      <c r="H13" s="221">
        <f t="shared" si="1"/>
        <v>94.557823129251702</v>
      </c>
      <c r="I13" s="222">
        <f t="shared" si="2"/>
        <v>3.1999999999999957</v>
      </c>
    </row>
    <row r="14" spans="1:10" ht="17.25" customHeight="1" x14ac:dyDescent="0.25">
      <c r="A14" s="15" t="s">
        <v>13</v>
      </c>
      <c r="B14" s="186" t="s">
        <v>106</v>
      </c>
      <c r="C14" s="186" t="s">
        <v>107</v>
      </c>
      <c r="D14" s="187">
        <v>40</v>
      </c>
      <c r="E14" s="195">
        <f t="shared" si="0"/>
        <v>0</v>
      </c>
      <c r="F14" s="206">
        <v>40</v>
      </c>
      <c r="G14" s="211">
        <v>40</v>
      </c>
      <c r="H14" s="210">
        <f t="shared" si="1"/>
        <v>100</v>
      </c>
      <c r="I14" s="211">
        <f t="shared" si="2"/>
        <v>0</v>
      </c>
    </row>
    <row r="15" spans="1:10" ht="49.5" customHeight="1" x14ac:dyDescent="0.25">
      <c r="A15" s="15" t="s">
        <v>39</v>
      </c>
      <c r="B15" s="186" t="s">
        <v>106</v>
      </c>
      <c r="C15" s="186" t="s">
        <v>110</v>
      </c>
      <c r="D15" s="187">
        <v>60</v>
      </c>
      <c r="E15" s="195">
        <f t="shared" si="0"/>
        <v>-51.2</v>
      </c>
      <c r="F15" s="206">
        <v>8.8000000000000007</v>
      </c>
      <c r="G15" s="211">
        <v>5.6</v>
      </c>
      <c r="H15" s="210">
        <f t="shared" si="1"/>
        <v>63.636363636363626</v>
      </c>
      <c r="I15" s="211">
        <f t="shared" si="2"/>
        <v>3.2000000000000011</v>
      </c>
    </row>
    <row r="16" spans="1:10" ht="37.5" customHeight="1" x14ac:dyDescent="0.25">
      <c r="A16" s="15" t="s">
        <v>251</v>
      </c>
      <c r="B16" s="186" t="s">
        <v>106</v>
      </c>
      <c r="C16" s="186" t="s">
        <v>210</v>
      </c>
      <c r="D16" s="187">
        <v>10</v>
      </c>
      <c r="E16" s="195">
        <v>10</v>
      </c>
      <c r="F16" s="206">
        <v>10</v>
      </c>
      <c r="G16" s="211">
        <v>10</v>
      </c>
      <c r="H16" s="210">
        <f t="shared" si="1"/>
        <v>100</v>
      </c>
      <c r="I16" s="211">
        <f t="shared" si="2"/>
        <v>0</v>
      </c>
    </row>
    <row r="17" spans="1:9" ht="18.75" customHeight="1" x14ac:dyDescent="0.25">
      <c r="A17" s="43" t="s">
        <v>14</v>
      </c>
      <c r="B17" s="194" t="s">
        <v>107</v>
      </c>
      <c r="C17" s="194"/>
      <c r="D17" s="191">
        <f>D19+D18+D20</f>
        <v>937.3</v>
      </c>
      <c r="E17" s="193">
        <f t="shared" si="0"/>
        <v>248.22000000000003</v>
      </c>
      <c r="F17" s="212">
        <f>F19+F18+F20</f>
        <v>1185.52</v>
      </c>
      <c r="G17" s="216">
        <f>G19+G18+G20</f>
        <v>1077.49</v>
      </c>
      <c r="H17" s="221">
        <f t="shared" si="1"/>
        <v>90.887543019097109</v>
      </c>
      <c r="I17" s="222">
        <f t="shared" si="2"/>
        <v>108.02999999999997</v>
      </c>
    </row>
    <row r="18" spans="1:9" ht="18.75" customHeight="1" x14ac:dyDescent="0.25">
      <c r="A18" s="16" t="s">
        <v>222</v>
      </c>
      <c r="B18" s="199" t="s">
        <v>107</v>
      </c>
      <c r="C18" s="199" t="s">
        <v>104</v>
      </c>
      <c r="D18" s="201">
        <v>76</v>
      </c>
      <c r="E18" s="195">
        <f t="shared" si="0"/>
        <v>-1.0499999999999972</v>
      </c>
      <c r="F18" s="213">
        <v>74.95</v>
      </c>
      <c r="G18" s="211">
        <v>74.95</v>
      </c>
      <c r="H18" s="210">
        <f t="shared" si="1"/>
        <v>100</v>
      </c>
      <c r="I18" s="211">
        <f t="shared" si="2"/>
        <v>0</v>
      </c>
    </row>
    <row r="19" spans="1:9" ht="15.75" x14ac:dyDescent="0.25">
      <c r="A19" s="15" t="s">
        <v>15</v>
      </c>
      <c r="B19" s="186" t="s">
        <v>107</v>
      </c>
      <c r="C19" s="186">
        <v>10</v>
      </c>
      <c r="D19" s="188">
        <v>815</v>
      </c>
      <c r="E19" s="195">
        <f t="shared" si="0"/>
        <v>266</v>
      </c>
      <c r="F19" s="207">
        <v>1081</v>
      </c>
      <c r="G19" s="211">
        <v>972.97</v>
      </c>
      <c r="H19" s="210">
        <f t="shared" si="1"/>
        <v>90.006475485661426</v>
      </c>
      <c r="I19" s="211">
        <f t="shared" si="2"/>
        <v>108.02999999999997</v>
      </c>
    </row>
    <row r="20" spans="1:9" ht="15.75" x14ac:dyDescent="0.25">
      <c r="A20" s="15" t="s">
        <v>224</v>
      </c>
      <c r="B20" s="186" t="s">
        <v>107</v>
      </c>
      <c r="C20" s="186" t="s">
        <v>212</v>
      </c>
      <c r="D20" s="188">
        <v>46.3</v>
      </c>
      <c r="E20" s="195">
        <v>46.3</v>
      </c>
      <c r="F20" s="207">
        <v>29.57</v>
      </c>
      <c r="G20" s="211">
        <v>29.57</v>
      </c>
      <c r="H20" s="210">
        <f t="shared" si="1"/>
        <v>100</v>
      </c>
      <c r="I20" s="211">
        <f t="shared" si="2"/>
        <v>0</v>
      </c>
    </row>
    <row r="21" spans="1:9" ht="15" customHeight="1" x14ac:dyDescent="0.25">
      <c r="A21" s="43" t="s">
        <v>16</v>
      </c>
      <c r="B21" s="194" t="s">
        <v>108</v>
      </c>
      <c r="C21" s="194"/>
      <c r="D21" s="192">
        <f>D23+D24+D22</f>
        <v>1797</v>
      </c>
      <c r="E21" s="193">
        <f t="shared" si="0"/>
        <v>375.90999999999985</v>
      </c>
      <c r="F21" s="205">
        <f>F23+F24+F22</f>
        <v>2172.91</v>
      </c>
      <c r="G21" s="215">
        <f>G23+G24+G22</f>
        <v>1933.84</v>
      </c>
      <c r="H21" s="221">
        <f t="shared" si="1"/>
        <v>88.997703540413553</v>
      </c>
      <c r="I21" s="222">
        <f t="shared" si="2"/>
        <v>239.06999999999994</v>
      </c>
    </row>
    <row r="22" spans="1:9" ht="15" customHeight="1" x14ac:dyDescent="0.25">
      <c r="A22" s="16" t="s">
        <v>252</v>
      </c>
      <c r="B22" s="199" t="s">
        <v>108</v>
      </c>
      <c r="C22" s="199" t="s">
        <v>104</v>
      </c>
      <c r="D22" s="200">
        <v>0</v>
      </c>
      <c r="E22" s="195">
        <f t="shared" si="0"/>
        <v>344.83</v>
      </c>
      <c r="F22" s="208">
        <v>344.83</v>
      </c>
      <c r="G22" s="211">
        <v>344.83</v>
      </c>
      <c r="H22" s="210">
        <f t="shared" si="1"/>
        <v>100</v>
      </c>
      <c r="I22" s="211">
        <f t="shared" si="2"/>
        <v>0</v>
      </c>
    </row>
    <row r="23" spans="1:9" ht="15" customHeight="1" x14ac:dyDescent="0.25">
      <c r="A23" s="15" t="s">
        <v>43</v>
      </c>
      <c r="B23" s="186" t="s">
        <v>108</v>
      </c>
      <c r="C23" s="186" t="s">
        <v>105</v>
      </c>
      <c r="D23" s="187">
        <v>1282</v>
      </c>
      <c r="E23" s="195">
        <f t="shared" si="0"/>
        <v>-81.849999999999909</v>
      </c>
      <c r="F23" s="206">
        <v>1200.1500000000001</v>
      </c>
      <c r="G23" s="211">
        <v>1130.75</v>
      </c>
      <c r="H23" s="210">
        <f t="shared" si="1"/>
        <v>94.217389492980047</v>
      </c>
      <c r="I23" s="211">
        <f t="shared" si="2"/>
        <v>69.400000000000091</v>
      </c>
    </row>
    <row r="24" spans="1:9" ht="18" customHeight="1" x14ac:dyDescent="0.25">
      <c r="A24" s="15" t="s">
        <v>17</v>
      </c>
      <c r="B24" s="186" t="s">
        <v>108</v>
      </c>
      <c r="C24" s="186" t="s">
        <v>106</v>
      </c>
      <c r="D24" s="187">
        <v>515</v>
      </c>
      <c r="E24" s="195">
        <f t="shared" si="0"/>
        <v>112.92999999999995</v>
      </c>
      <c r="F24" s="206">
        <v>627.92999999999995</v>
      </c>
      <c r="G24" s="211">
        <v>458.26</v>
      </c>
      <c r="H24" s="210">
        <f t="shared" si="1"/>
        <v>72.979472234166238</v>
      </c>
      <c r="I24" s="211">
        <f t="shared" si="2"/>
        <v>169.66999999999996</v>
      </c>
    </row>
    <row r="25" spans="1:9" ht="18" customHeight="1" x14ac:dyDescent="0.25">
      <c r="A25" s="43" t="s">
        <v>18</v>
      </c>
      <c r="B25" s="194" t="s">
        <v>109</v>
      </c>
      <c r="C25" s="194"/>
      <c r="D25" s="191">
        <f>D26</f>
        <v>2496.6</v>
      </c>
      <c r="E25" s="193">
        <f t="shared" si="0"/>
        <v>-228.92999999999984</v>
      </c>
      <c r="F25" s="212">
        <f>F26</f>
        <v>2267.67</v>
      </c>
      <c r="G25" s="216">
        <f>G26</f>
        <v>2201.09</v>
      </c>
      <c r="H25" s="221">
        <f t="shared" si="1"/>
        <v>97.063946694183898</v>
      </c>
      <c r="I25" s="222">
        <f t="shared" si="2"/>
        <v>66.579999999999927</v>
      </c>
    </row>
    <row r="26" spans="1:9" ht="14.25" customHeight="1" x14ac:dyDescent="0.25">
      <c r="A26" s="15" t="s">
        <v>19</v>
      </c>
      <c r="B26" s="186" t="s">
        <v>109</v>
      </c>
      <c r="C26" s="186" t="s">
        <v>104</v>
      </c>
      <c r="D26" s="188">
        <v>2496.6</v>
      </c>
      <c r="E26" s="195">
        <f t="shared" si="0"/>
        <v>-228.92999999999984</v>
      </c>
      <c r="F26" s="207">
        <v>2267.67</v>
      </c>
      <c r="G26" s="211">
        <v>2201.09</v>
      </c>
      <c r="H26" s="210">
        <f t="shared" si="1"/>
        <v>97.063946694183898</v>
      </c>
      <c r="I26" s="211">
        <f t="shared" si="2"/>
        <v>66.579999999999927</v>
      </c>
    </row>
    <row r="27" spans="1:9" ht="16.5" customHeight="1" x14ac:dyDescent="0.25">
      <c r="A27" s="43" t="s">
        <v>20</v>
      </c>
      <c r="B27" s="194">
        <v>11</v>
      </c>
      <c r="C27" s="194"/>
      <c r="D27" s="191">
        <f>D28</f>
        <v>3842.1</v>
      </c>
      <c r="E27" s="193">
        <f>F27-D27</f>
        <v>490.62999999999965</v>
      </c>
      <c r="F27" s="212">
        <f>F28</f>
        <v>4332.7299999999996</v>
      </c>
      <c r="G27" s="216">
        <f>G28</f>
        <v>4270.87</v>
      </c>
      <c r="H27" s="221">
        <f t="shared" si="1"/>
        <v>98.57226275350645</v>
      </c>
      <c r="I27" s="222">
        <v>61.87</v>
      </c>
    </row>
    <row r="28" spans="1:9" ht="15.75" x14ac:dyDescent="0.25">
      <c r="A28" s="15" t="s">
        <v>21</v>
      </c>
      <c r="B28" s="186">
        <v>11</v>
      </c>
      <c r="C28" s="186" t="s">
        <v>104</v>
      </c>
      <c r="D28" s="188">
        <v>3842.1</v>
      </c>
      <c r="E28" s="195">
        <f t="shared" si="0"/>
        <v>490.62999999999965</v>
      </c>
      <c r="F28" s="207">
        <v>4332.7299999999996</v>
      </c>
      <c r="G28" s="211">
        <v>4270.87</v>
      </c>
      <c r="H28" s="210">
        <f t="shared" si="1"/>
        <v>98.57226275350645</v>
      </c>
      <c r="I28" s="211">
        <v>61.87</v>
      </c>
    </row>
    <row r="29" spans="1:9" ht="55.5" customHeight="1" x14ac:dyDescent="0.25">
      <c r="A29" s="43" t="s">
        <v>22</v>
      </c>
      <c r="B29" s="194">
        <v>14</v>
      </c>
      <c r="C29" s="194"/>
      <c r="D29" s="192">
        <f>D30</f>
        <v>39.700000000000003</v>
      </c>
      <c r="E29" s="193">
        <f t="shared" si="0"/>
        <v>1.9999999999996021E-2</v>
      </c>
      <c r="F29" s="205">
        <f>F30</f>
        <v>39.72</v>
      </c>
      <c r="G29" s="215">
        <f>G30</f>
        <v>39.72</v>
      </c>
      <c r="H29" s="221">
        <f t="shared" si="1"/>
        <v>100</v>
      </c>
      <c r="I29" s="222">
        <f t="shared" si="2"/>
        <v>0</v>
      </c>
    </row>
    <row r="30" spans="1:9" ht="15.75" x14ac:dyDescent="0.25">
      <c r="A30" s="15" t="s">
        <v>23</v>
      </c>
      <c r="B30" s="186">
        <v>14</v>
      </c>
      <c r="C30" s="186" t="s">
        <v>106</v>
      </c>
      <c r="D30" s="187">
        <v>39.700000000000003</v>
      </c>
      <c r="E30" s="195">
        <f t="shared" si="0"/>
        <v>1.9999999999996021E-2</v>
      </c>
      <c r="F30" s="206">
        <v>39.72</v>
      </c>
      <c r="G30" s="211">
        <v>39.72</v>
      </c>
      <c r="H30" s="210">
        <f t="shared" si="1"/>
        <v>100</v>
      </c>
      <c r="I30" s="211">
        <f t="shared" si="2"/>
        <v>0</v>
      </c>
    </row>
    <row r="31" spans="1:9" ht="15.75" x14ac:dyDescent="0.25">
      <c r="A31" s="54" t="s">
        <v>24</v>
      </c>
      <c r="B31" s="232"/>
      <c r="C31" s="232"/>
      <c r="D31" s="189">
        <f>D6++D11+D13+D17+D21+D25+D27+D29</f>
        <v>24206.999999999996</v>
      </c>
      <c r="E31" s="190">
        <f t="shared" si="0"/>
        <v>697.31000000000495</v>
      </c>
      <c r="F31" s="209">
        <f>F6++F11+F13+F17+F21+F25+F27+F29</f>
        <v>24904.31</v>
      </c>
      <c r="G31" s="214">
        <f>G6++G11+G13+G17+G21+G25+G27+G29</f>
        <v>23650.33</v>
      </c>
      <c r="H31" s="225">
        <f t="shared" si="1"/>
        <v>94.964807296407727</v>
      </c>
      <c r="I31" s="226">
        <f>I6++I11+I13+I17+I21+I25+I27+I29</f>
        <v>1253.9899999999996</v>
      </c>
    </row>
    <row r="33" spans="6:6" x14ac:dyDescent="0.25">
      <c r="F33" s="5"/>
    </row>
  </sheetData>
  <mergeCells count="14">
    <mergeCell ref="G4:G5"/>
    <mergeCell ref="H4:H5"/>
    <mergeCell ref="I4:I5"/>
    <mergeCell ref="H1:I1"/>
    <mergeCell ref="G3:H3"/>
    <mergeCell ref="A2:I2"/>
    <mergeCell ref="F4:F5"/>
    <mergeCell ref="E3:F3"/>
    <mergeCell ref="E1:F1"/>
    <mergeCell ref="A4:A5"/>
    <mergeCell ref="B4:B5"/>
    <mergeCell ref="C4:C5"/>
    <mergeCell ref="D4:D5"/>
    <mergeCell ref="E4:E5"/>
  </mergeCells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1"/>
  <sheetViews>
    <sheetView topLeftCell="A65" zoomScaleNormal="100" workbookViewId="0">
      <selection activeCell="A74" sqref="A74"/>
    </sheetView>
  </sheetViews>
  <sheetFormatPr defaultRowHeight="15.75" x14ac:dyDescent="0.25"/>
  <cols>
    <col min="1" max="1" width="45.140625" style="3" customWidth="1"/>
    <col min="2" max="2" width="7.5703125" style="20" customWidth="1"/>
    <col min="3" max="3" width="6.140625" style="20" customWidth="1"/>
    <col min="4" max="4" width="5.7109375" style="20" customWidth="1"/>
    <col min="5" max="5" width="10.140625" style="20" customWidth="1"/>
    <col min="6" max="6" width="8.140625" style="20" customWidth="1"/>
    <col min="7" max="7" width="17" style="3" hidden="1" customWidth="1"/>
    <col min="8" max="8" width="12" style="3" hidden="1" customWidth="1"/>
    <col min="9" max="9" width="11.5703125" style="3" hidden="1" customWidth="1"/>
    <col min="10" max="10" width="11.85546875" style="3" customWidth="1"/>
    <col min="11" max="11" width="9.7109375" style="3" customWidth="1"/>
    <col min="12" max="12" width="9.140625" style="234" customWidth="1"/>
    <col min="13" max="13" width="9.140625" style="234"/>
    <col min="14" max="16384" width="9.140625" style="3"/>
  </cols>
  <sheetData>
    <row r="1" spans="1:21" ht="63.75" customHeight="1" x14ac:dyDescent="0.25">
      <c r="G1" s="19"/>
      <c r="H1" s="19"/>
      <c r="I1" s="276"/>
      <c r="J1" s="276"/>
      <c r="K1" s="220"/>
      <c r="L1" s="263" t="s">
        <v>349</v>
      </c>
      <c r="M1" s="263"/>
    </row>
    <row r="2" spans="1:21" ht="46.5" customHeight="1" x14ac:dyDescent="0.25">
      <c r="A2" s="287" t="s">
        <v>127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21" x14ac:dyDescent="0.25">
      <c r="I3" s="290"/>
      <c r="J3" s="290"/>
      <c r="K3" s="237"/>
      <c r="L3" s="237"/>
      <c r="M3" s="237" t="s">
        <v>348</v>
      </c>
    </row>
    <row r="4" spans="1:21" ht="58.5" customHeight="1" x14ac:dyDescent="0.25">
      <c r="A4" s="288" t="s">
        <v>0</v>
      </c>
      <c r="B4" s="288" t="s">
        <v>25</v>
      </c>
      <c r="C4" s="288" t="s">
        <v>1</v>
      </c>
      <c r="D4" s="288" t="s">
        <v>2</v>
      </c>
      <c r="E4" s="288" t="s">
        <v>3</v>
      </c>
      <c r="F4" s="288" t="s">
        <v>4</v>
      </c>
      <c r="G4" s="61" t="s">
        <v>270</v>
      </c>
      <c r="H4" s="61" t="s">
        <v>119</v>
      </c>
      <c r="I4" s="62" t="s">
        <v>184</v>
      </c>
      <c r="J4" s="278" t="s">
        <v>346</v>
      </c>
      <c r="K4" s="278" t="s">
        <v>345</v>
      </c>
      <c r="L4" s="280" t="s">
        <v>343</v>
      </c>
      <c r="M4" s="268" t="s">
        <v>344</v>
      </c>
    </row>
    <row r="5" spans="1:21" s="185" customFormat="1" ht="58.5" customHeight="1" x14ac:dyDescent="0.25">
      <c r="A5" s="289"/>
      <c r="B5" s="289"/>
      <c r="C5" s="289"/>
      <c r="D5" s="289"/>
      <c r="E5" s="289"/>
      <c r="F5" s="289"/>
      <c r="G5" s="196"/>
      <c r="H5" s="196"/>
      <c r="I5" s="197"/>
      <c r="J5" s="279"/>
      <c r="K5" s="279"/>
      <c r="L5" s="281"/>
      <c r="M5" s="269"/>
    </row>
    <row r="6" spans="1:21" ht="21.75" customHeight="1" x14ac:dyDescent="0.25">
      <c r="A6" s="63" t="s">
        <v>5</v>
      </c>
      <c r="B6" s="64">
        <v>650</v>
      </c>
      <c r="C6" s="65">
        <v>1</v>
      </c>
      <c r="D6" s="65">
        <v>0</v>
      </c>
      <c r="E6" s="66" t="s">
        <v>128</v>
      </c>
      <c r="F6" s="64" t="s">
        <v>26</v>
      </c>
      <c r="G6" s="72">
        <f>G7+G10+G16+G19</f>
        <v>14820.300000000001</v>
      </c>
      <c r="H6" s="41"/>
      <c r="I6" s="72">
        <f t="shared" ref="I6:I37" si="0">J6-G6</f>
        <v>-137.34000000000015</v>
      </c>
      <c r="J6" s="84">
        <f>J7+J10+J16+J19</f>
        <v>14682.960000000001</v>
      </c>
      <c r="K6" s="198">
        <f>K7+K10+K16+K19</f>
        <v>13907.72</v>
      </c>
      <c r="L6" s="238">
        <f>K6/J6*100</f>
        <v>94.720138173774217</v>
      </c>
      <c r="M6" s="236">
        <f>J6-K6</f>
        <v>775.2400000000016</v>
      </c>
    </row>
    <row r="7" spans="1:21" ht="48" customHeight="1" x14ac:dyDescent="0.25">
      <c r="A7" s="26" t="s">
        <v>6</v>
      </c>
      <c r="B7" s="21">
        <v>650</v>
      </c>
      <c r="C7" s="23">
        <v>1</v>
      </c>
      <c r="D7" s="23">
        <v>2</v>
      </c>
      <c r="E7" s="22" t="s">
        <v>128</v>
      </c>
      <c r="F7" s="21" t="s">
        <v>26</v>
      </c>
      <c r="G7" s="24">
        <v>1571.1</v>
      </c>
      <c r="H7" s="25"/>
      <c r="I7" s="74">
        <f t="shared" si="0"/>
        <v>18.090000000000146</v>
      </c>
      <c r="J7" s="182">
        <f>J8</f>
        <v>1589.19</v>
      </c>
      <c r="K7" s="182">
        <f>K8</f>
        <v>1589.19</v>
      </c>
      <c r="L7" s="233">
        <f t="shared" ref="L7:L60" si="1">K7/J7*100</f>
        <v>100</v>
      </c>
      <c r="M7" s="235">
        <f t="shared" ref="M7:M60" si="2">J7-K7</f>
        <v>0</v>
      </c>
    </row>
    <row r="8" spans="1:21" ht="39.75" customHeight="1" x14ac:dyDescent="0.25">
      <c r="A8" s="26" t="s">
        <v>131</v>
      </c>
      <c r="B8" s="21">
        <v>650</v>
      </c>
      <c r="C8" s="23">
        <v>1</v>
      </c>
      <c r="D8" s="23">
        <v>2</v>
      </c>
      <c r="E8" s="22" t="s">
        <v>132</v>
      </c>
      <c r="F8" s="21" t="s">
        <v>26</v>
      </c>
      <c r="G8" s="24">
        <v>1571.1</v>
      </c>
      <c r="H8" s="25"/>
      <c r="I8" s="74">
        <f t="shared" si="0"/>
        <v>18.090000000000146</v>
      </c>
      <c r="J8" s="182">
        <f>J9</f>
        <v>1589.19</v>
      </c>
      <c r="K8" s="182">
        <f>K9</f>
        <v>1589.19</v>
      </c>
      <c r="L8" s="233">
        <f t="shared" si="1"/>
        <v>100</v>
      </c>
      <c r="M8" s="235">
        <f t="shared" si="2"/>
        <v>0</v>
      </c>
      <c r="N8" s="121"/>
      <c r="O8" s="121"/>
      <c r="P8" s="121"/>
      <c r="Q8" s="121"/>
      <c r="R8" s="121"/>
      <c r="S8" s="121"/>
      <c r="T8" s="121"/>
      <c r="U8" s="121"/>
    </row>
    <row r="9" spans="1:21" ht="51.75" customHeight="1" x14ac:dyDescent="0.25">
      <c r="A9" s="26" t="s">
        <v>133</v>
      </c>
      <c r="B9" s="21">
        <v>650</v>
      </c>
      <c r="C9" s="23">
        <v>1</v>
      </c>
      <c r="D9" s="23">
        <v>2</v>
      </c>
      <c r="E9" s="22" t="s">
        <v>132</v>
      </c>
      <c r="F9" s="21" t="s">
        <v>134</v>
      </c>
      <c r="G9" s="24">
        <v>1571.1</v>
      </c>
      <c r="H9" s="25"/>
      <c r="I9" s="74">
        <f t="shared" si="0"/>
        <v>18.090000000000146</v>
      </c>
      <c r="J9" s="182">
        <v>1589.19</v>
      </c>
      <c r="K9" s="182">
        <v>1589.19</v>
      </c>
      <c r="L9" s="233">
        <f t="shared" si="1"/>
        <v>100</v>
      </c>
      <c r="M9" s="235">
        <f t="shared" si="2"/>
        <v>0</v>
      </c>
      <c r="N9" s="120"/>
      <c r="O9" s="120"/>
      <c r="P9" s="120"/>
      <c r="Q9" s="120"/>
      <c r="R9" s="120"/>
      <c r="S9" s="120"/>
      <c r="T9" s="120"/>
      <c r="U9" s="120"/>
    </row>
    <row r="10" spans="1:21" ht="66" customHeight="1" x14ac:dyDescent="0.25">
      <c r="A10" s="26" t="s">
        <v>7</v>
      </c>
      <c r="B10" s="21">
        <v>650</v>
      </c>
      <c r="C10" s="23">
        <v>1</v>
      </c>
      <c r="D10" s="23">
        <v>4</v>
      </c>
      <c r="E10" s="22" t="s">
        <v>128</v>
      </c>
      <c r="F10" s="21" t="s">
        <v>26</v>
      </c>
      <c r="G10" s="24">
        <v>9737.7000000000007</v>
      </c>
      <c r="H10" s="25"/>
      <c r="I10" s="74">
        <f t="shared" si="0"/>
        <v>-28.100000000000364</v>
      </c>
      <c r="J10" s="182">
        <f>J11</f>
        <v>9709.6</v>
      </c>
      <c r="K10" s="182">
        <f>K11</f>
        <v>9680.119999999999</v>
      </c>
      <c r="L10" s="233">
        <f t="shared" si="1"/>
        <v>99.696382961193024</v>
      </c>
      <c r="M10" s="235">
        <f t="shared" si="2"/>
        <v>29.480000000001382</v>
      </c>
    </row>
    <row r="11" spans="1:21" ht="39" customHeight="1" x14ac:dyDescent="0.25">
      <c r="A11" s="26" t="s">
        <v>135</v>
      </c>
      <c r="B11" s="21">
        <v>650</v>
      </c>
      <c r="C11" s="23">
        <v>1</v>
      </c>
      <c r="D11" s="23">
        <v>4</v>
      </c>
      <c r="E11" s="22" t="s">
        <v>136</v>
      </c>
      <c r="F11" s="21" t="s">
        <v>26</v>
      </c>
      <c r="G11" s="24">
        <v>9737.7000000000007</v>
      </c>
      <c r="H11" s="25"/>
      <c r="I11" s="74">
        <f t="shared" si="0"/>
        <v>-28.100000000000364</v>
      </c>
      <c r="J11" s="182">
        <f>J12+J13+J14+J15</f>
        <v>9709.6</v>
      </c>
      <c r="K11" s="182">
        <f>K12+K13+K14+K15</f>
        <v>9680.119999999999</v>
      </c>
      <c r="L11" s="233">
        <f t="shared" si="1"/>
        <v>99.696382961193024</v>
      </c>
      <c r="M11" s="235">
        <f t="shared" si="2"/>
        <v>29.480000000001382</v>
      </c>
    </row>
    <row r="12" spans="1:21" ht="51.75" customHeight="1" x14ac:dyDescent="0.25">
      <c r="A12" s="26" t="s">
        <v>133</v>
      </c>
      <c r="B12" s="21">
        <v>650</v>
      </c>
      <c r="C12" s="23">
        <v>1</v>
      </c>
      <c r="D12" s="23">
        <v>4</v>
      </c>
      <c r="E12" s="22" t="s">
        <v>136</v>
      </c>
      <c r="F12" s="21" t="s">
        <v>134</v>
      </c>
      <c r="G12" s="24">
        <v>9436.2000000000007</v>
      </c>
      <c r="H12" s="25"/>
      <c r="I12" s="74">
        <f t="shared" si="0"/>
        <v>-26.100000000000364</v>
      </c>
      <c r="J12" s="182">
        <v>9410.1</v>
      </c>
      <c r="K12" s="182">
        <v>9400.7999999999993</v>
      </c>
      <c r="L12" s="233">
        <f t="shared" si="1"/>
        <v>99.901170019447179</v>
      </c>
      <c r="M12" s="235">
        <f t="shared" si="2"/>
        <v>9.3000000000010914</v>
      </c>
    </row>
    <row r="13" spans="1:21" ht="48" customHeight="1" x14ac:dyDescent="0.25">
      <c r="A13" s="26" t="s">
        <v>137</v>
      </c>
      <c r="B13" s="21">
        <v>650</v>
      </c>
      <c r="C13" s="23">
        <v>1</v>
      </c>
      <c r="D13" s="23">
        <v>4</v>
      </c>
      <c r="E13" s="22" t="s">
        <v>136</v>
      </c>
      <c r="F13" s="21" t="s">
        <v>138</v>
      </c>
      <c r="G13" s="24">
        <v>100</v>
      </c>
      <c r="H13" s="25"/>
      <c r="I13" s="74">
        <f t="shared" si="0"/>
        <v>-19.900000000000006</v>
      </c>
      <c r="J13" s="182">
        <v>80.099999999999994</v>
      </c>
      <c r="K13" s="182">
        <v>68.16</v>
      </c>
      <c r="L13" s="233">
        <f t="shared" si="1"/>
        <v>85.093632958801507</v>
      </c>
      <c r="M13" s="235">
        <f t="shared" si="2"/>
        <v>11.939999999999998</v>
      </c>
    </row>
    <row r="14" spans="1:21" ht="45.75" customHeight="1" x14ac:dyDescent="0.25">
      <c r="A14" s="26" t="s">
        <v>139</v>
      </c>
      <c r="B14" s="21">
        <v>650</v>
      </c>
      <c r="C14" s="23">
        <v>1</v>
      </c>
      <c r="D14" s="23">
        <v>4</v>
      </c>
      <c r="E14" s="22" t="s">
        <v>136</v>
      </c>
      <c r="F14" s="21" t="s">
        <v>140</v>
      </c>
      <c r="G14" s="24">
        <v>184</v>
      </c>
      <c r="H14" s="25"/>
      <c r="I14" s="74">
        <f t="shared" si="0"/>
        <v>-33.099999999999994</v>
      </c>
      <c r="J14" s="182">
        <v>150.9</v>
      </c>
      <c r="K14" s="182">
        <v>143.08000000000001</v>
      </c>
      <c r="L14" s="233">
        <f t="shared" si="1"/>
        <v>94.817760106030491</v>
      </c>
      <c r="M14" s="235">
        <f t="shared" si="2"/>
        <v>7.8199999999999932</v>
      </c>
    </row>
    <row r="15" spans="1:21" ht="24.75" customHeight="1" x14ac:dyDescent="0.25">
      <c r="A15" s="26" t="s">
        <v>141</v>
      </c>
      <c r="B15" s="21">
        <v>650</v>
      </c>
      <c r="C15" s="23">
        <v>1</v>
      </c>
      <c r="D15" s="23">
        <v>4</v>
      </c>
      <c r="E15" s="22" t="s">
        <v>136</v>
      </c>
      <c r="F15" s="21" t="s">
        <v>142</v>
      </c>
      <c r="G15" s="24">
        <v>17.5</v>
      </c>
      <c r="H15" s="25"/>
      <c r="I15" s="74">
        <f t="shared" si="0"/>
        <v>51</v>
      </c>
      <c r="J15" s="182">
        <v>68.5</v>
      </c>
      <c r="K15" s="182">
        <v>68.08</v>
      </c>
      <c r="L15" s="233">
        <f t="shared" si="1"/>
        <v>99.386861313868607</v>
      </c>
      <c r="M15" s="235">
        <f t="shared" si="2"/>
        <v>0.42000000000000171</v>
      </c>
    </row>
    <row r="16" spans="1:21" ht="27" customHeight="1" x14ac:dyDescent="0.25">
      <c r="A16" s="26" t="s">
        <v>8</v>
      </c>
      <c r="B16" s="21">
        <v>650</v>
      </c>
      <c r="C16" s="23">
        <v>1</v>
      </c>
      <c r="D16" s="23">
        <v>11</v>
      </c>
      <c r="E16" s="22" t="s">
        <v>128</v>
      </c>
      <c r="F16" s="21" t="s">
        <v>26</v>
      </c>
      <c r="G16" s="24">
        <v>300</v>
      </c>
      <c r="H16" s="25"/>
      <c r="I16" s="74">
        <f t="shared" si="0"/>
        <v>0</v>
      </c>
      <c r="J16" s="217">
        <f>J17</f>
        <v>300</v>
      </c>
      <c r="K16" s="217">
        <f>K17</f>
        <v>0</v>
      </c>
      <c r="L16" s="233">
        <f t="shared" si="1"/>
        <v>0</v>
      </c>
      <c r="M16" s="235">
        <f t="shared" si="2"/>
        <v>300</v>
      </c>
    </row>
    <row r="17" spans="1:13" ht="33" customHeight="1" x14ac:dyDescent="0.25">
      <c r="A17" s="26" t="s">
        <v>143</v>
      </c>
      <c r="B17" s="21">
        <v>650</v>
      </c>
      <c r="C17" s="23">
        <v>1</v>
      </c>
      <c r="D17" s="23">
        <v>11</v>
      </c>
      <c r="E17" s="22" t="s">
        <v>144</v>
      </c>
      <c r="F17" s="21" t="s">
        <v>26</v>
      </c>
      <c r="G17" s="24">
        <v>300</v>
      </c>
      <c r="H17" s="25"/>
      <c r="I17" s="74">
        <f t="shared" si="0"/>
        <v>0</v>
      </c>
      <c r="J17" s="182">
        <f>J18</f>
        <v>300</v>
      </c>
      <c r="K17" s="182">
        <f>K18</f>
        <v>0</v>
      </c>
      <c r="L17" s="233">
        <f t="shared" si="1"/>
        <v>0</v>
      </c>
      <c r="M17" s="235">
        <f t="shared" si="2"/>
        <v>300</v>
      </c>
    </row>
    <row r="18" spans="1:13" ht="21.75" customHeight="1" x14ac:dyDescent="0.25">
      <c r="A18" s="26" t="s">
        <v>112</v>
      </c>
      <c r="B18" s="21">
        <v>650</v>
      </c>
      <c r="C18" s="23">
        <v>1</v>
      </c>
      <c r="D18" s="23">
        <v>11</v>
      </c>
      <c r="E18" s="22" t="s">
        <v>144</v>
      </c>
      <c r="F18" s="21" t="s">
        <v>145</v>
      </c>
      <c r="G18" s="24">
        <v>300</v>
      </c>
      <c r="H18" s="25"/>
      <c r="I18" s="74">
        <f t="shared" si="0"/>
        <v>0</v>
      </c>
      <c r="J18" s="182">
        <v>300</v>
      </c>
      <c r="K18" s="182">
        <v>0</v>
      </c>
      <c r="L18" s="233">
        <f t="shared" si="1"/>
        <v>0</v>
      </c>
      <c r="M18" s="235">
        <f t="shared" si="2"/>
        <v>300</v>
      </c>
    </row>
    <row r="19" spans="1:13" ht="30.75" customHeight="1" x14ac:dyDescent="0.25">
      <c r="A19" s="26" t="s">
        <v>9</v>
      </c>
      <c r="B19" s="21">
        <v>650</v>
      </c>
      <c r="C19" s="23">
        <v>1</v>
      </c>
      <c r="D19" s="23">
        <v>13</v>
      </c>
      <c r="E19" s="22" t="s">
        <v>128</v>
      </c>
      <c r="F19" s="21" t="s">
        <v>26</v>
      </c>
      <c r="G19" s="86">
        <v>3211.5</v>
      </c>
      <c r="H19" s="25"/>
      <c r="I19" s="74">
        <f t="shared" si="0"/>
        <v>-127.32999999999993</v>
      </c>
      <c r="J19" s="77">
        <f>J20+J22+J24+J26+J28+J32+J38+J34</f>
        <v>3084.17</v>
      </c>
      <c r="K19" s="77">
        <f>K20+K22+K24+K26+K28+K32+K38+K34</f>
        <v>2638.4100000000003</v>
      </c>
      <c r="L19" s="233">
        <f t="shared" si="1"/>
        <v>85.546840803198279</v>
      </c>
      <c r="M19" s="235">
        <f t="shared" si="2"/>
        <v>445.75999999999976</v>
      </c>
    </row>
    <row r="20" spans="1:13" ht="45" customHeight="1" x14ac:dyDescent="0.25">
      <c r="A20" s="26" t="s">
        <v>46</v>
      </c>
      <c r="B20" s="21">
        <v>650</v>
      </c>
      <c r="C20" s="23">
        <v>1</v>
      </c>
      <c r="D20" s="23">
        <v>13</v>
      </c>
      <c r="E20" s="22" t="s">
        <v>28</v>
      </c>
      <c r="F20" s="21" t="s">
        <v>26</v>
      </c>
      <c r="G20" s="24">
        <v>9.9</v>
      </c>
      <c r="H20" s="25"/>
      <c r="I20" s="74">
        <f t="shared" si="0"/>
        <v>-6.2</v>
      </c>
      <c r="J20" s="182">
        <f>J21</f>
        <v>3.7</v>
      </c>
      <c r="K20" s="182">
        <f>K21</f>
        <v>3.7</v>
      </c>
      <c r="L20" s="233">
        <f t="shared" si="1"/>
        <v>100</v>
      </c>
      <c r="M20" s="235">
        <f t="shared" si="2"/>
        <v>0</v>
      </c>
    </row>
    <row r="21" spans="1:13" ht="48" customHeight="1" x14ac:dyDescent="0.25">
      <c r="A21" s="26" t="s">
        <v>139</v>
      </c>
      <c r="B21" s="21">
        <v>650</v>
      </c>
      <c r="C21" s="23">
        <v>1</v>
      </c>
      <c r="D21" s="23">
        <v>13</v>
      </c>
      <c r="E21" s="22" t="s">
        <v>28</v>
      </c>
      <c r="F21" s="21" t="s">
        <v>140</v>
      </c>
      <c r="G21" s="24">
        <v>9.9</v>
      </c>
      <c r="H21" s="25"/>
      <c r="I21" s="74">
        <f t="shared" si="0"/>
        <v>-6.2</v>
      </c>
      <c r="J21" s="182">
        <v>3.7</v>
      </c>
      <c r="K21" s="182">
        <v>3.7</v>
      </c>
      <c r="L21" s="233">
        <f t="shared" si="1"/>
        <v>100</v>
      </c>
      <c r="M21" s="235">
        <f t="shared" si="2"/>
        <v>0</v>
      </c>
    </row>
    <row r="22" spans="1:13" ht="75.75" customHeight="1" x14ac:dyDescent="0.25">
      <c r="A22" s="26" t="s">
        <v>146</v>
      </c>
      <c r="B22" s="21">
        <v>650</v>
      </c>
      <c r="C22" s="23">
        <v>1</v>
      </c>
      <c r="D22" s="23">
        <v>13</v>
      </c>
      <c r="E22" s="22" t="s">
        <v>147</v>
      </c>
      <c r="F22" s="21" t="s">
        <v>26</v>
      </c>
      <c r="G22" s="73">
        <v>56.1</v>
      </c>
      <c r="H22" s="25"/>
      <c r="I22" s="74">
        <f t="shared" si="0"/>
        <v>0</v>
      </c>
      <c r="J22" s="77">
        <f>J23</f>
        <v>56.1</v>
      </c>
      <c r="K22" s="77">
        <f>K23</f>
        <v>56.1</v>
      </c>
      <c r="L22" s="233">
        <f t="shared" si="1"/>
        <v>100</v>
      </c>
      <c r="M22" s="235">
        <f t="shared" si="2"/>
        <v>0</v>
      </c>
    </row>
    <row r="23" spans="1:13" ht="31.5" customHeight="1" x14ac:dyDescent="0.25">
      <c r="A23" s="26" t="s">
        <v>139</v>
      </c>
      <c r="B23" s="21">
        <v>650</v>
      </c>
      <c r="C23" s="23">
        <v>1</v>
      </c>
      <c r="D23" s="23">
        <v>13</v>
      </c>
      <c r="E23" s="22" t="s">
        <v>147</v>
      </c>
      <c r="F23" s="21" t="s">
        <v>140</v>
      </c>
      <c r="G23" s="24">
        <v>56.1</v>
      </c>
      <c r="H23" s="25"/>
      <c r="I23" s="74">
        <f t="shared" si="0"/>
        <v>0</v>
      </c>
      <c r="J23" s="182">
        <v>56.1</v>
      </c>
      <c r="K23" s="182">
        <v>56.1</v>
      </c>
      <c r="L23" s="233">
        <f t="shared" si="1"/>
        <v>100</v>
      </c>
      <c r="M23" s="235">
        <f t="shared" si="2"/>
        <v>0</v>
      </c>
    </row>
    <row r="24" spans="1:13" ht="47.25" customHeight="1" x14ac:dyDescent="0.25">
      <c r="A24" s="26" t="s">
        <v>46</v>
      </c>
      <c r="B24" s="21">
        <v>650</v>
      </c>
      <c r="C24" s="23">
        <v>1</v>
      </c>
      <c r="D24" s="23">
        <v>13</v>
      </c>
      <c r="E24" s="22" t="s">
        <v>148</v>
      </c>
      <c r="F24" s="21" t="s">
        <v>26</v>
      </c>
      <c r="G24" s="24">
        <v>14</v>
      </c>
      <c r="H24" s="25"/>
      <c r="I24" s="74">
        <f t="shared" si="0"/>
        <v>0</v>
      </c>
      <c r="J24" s="182">
        <f>J25</f>
        <v>14</v>
      </c>
      <c r="K24" s="182">
        <f>K25</f>
        <v>14</v>
      </c>
      <c r="L24" s="233">
        <f t="shared" si="1"/>
        <v>100</v>
      </c>
      <c r="M24" s="235">
        <f t="shared" si="2"/>
        <v>0</v>
      </c>
    </row>
    <row r="25" spans="1:13" ht="49.5" customHeight="1" x14ac:dyDescent="0.25">
      <c r="A25" s="26" t="s">
        <v>139</v>
      </c>
      <c r="B25" s="21">
        <v>650</v>
      </c>
      <c r="C25" s="23">
        <v>1</v>
      </c>
      <c r="D25" s="23">
        <v>13</v>
      </c>
      <c r="E25" s="22" t="s">
        <v>148</v>
      </c>
      <c r="F25" s="21" t="s">
        <v>140</v>
      </c>
      <c r="G25" s="24">
        <v>14</v>
      </c>
      <c r="H25" s="25"/>
      <c r="I25" s="74">
        <f t="shared" si="0"/>
        <v>0</v>
      </c>
      <c r="J25" s="182">
        <v>14</v>
      </c>
      <c r="K25" s="182">
        <v>14</v>
      </c>
      <c r="L25" s="233">
        <f t="shared" si="1"/>
        <v>100</v>
      </c>
      <c r="M25" s="235">
        <f t="shared" si="2"/>
        <v>0</v>
      </c>
    </row>
    <row r="26" spans="1:13" ht="49.5" customHeight="1" x14ac:dyDescent="0.25">
      <c r="A26" s="26" t="s">
        <v>217</v>
      </c>
      <c r="B26" s="21">
        <v>650</v>
      </c>
      <c r="C26" s="23">
        <v>1</v>
      </c>
      <c r="D26" s="23">
        <v>13</v>
      </c>
      <c r="E26" s="22">
        <v>1517061</v>
      </c>
      <c r="F26" s="21">
        <v>0</v>
      </c>
      <c r="G26" s="24">
        <v>30</v>
      </c>
      <c r="H26" s="25"/>
      <c r="I26" s="74">
        <f t="shared" si="0"/>
        <v>0</v>
      </c>
      <c r="J26" s="182">
        <f>J27</f>
        <v>30</v>
      </c>
      <c r="K26" s="182">
        <f>K27</f>
        <v>30</v>
      </c>
      <c r="L26" s="233">
        <f t="shared" si="1"/>
        <v>100</v>
      </c>
      <c r="M26" s="235">
        <f t="shared" si="2"/>
        <v>0</v>
      </c>
    </row>
    <row r="27" spans="1:13" ht="49.5" customHeight="1" x14ac:dyDescent="0.25">
      <c r="A27" s="26" t="s">
        <v>139</v>
      </c>
      <c r="B27" s="21">
        <v>650</v>
      </c>
      <c r="C27" s="23">
        <v>1</v>
      </c>
      <c r="D27" s="23">
        <v>13</v>
      </c>
      <c r="E27" s="22">
        <v>1517061</v>
      </c>
      <c r="F27" s="21">
        <v>244</v>
      </c>
      <c r="G27" s="24">
        <v>30</v>
      </c>
      <c r="H27" s="25"/>
      <c r="I27" s="74">
        <f t="shared" si="0"/>
        <v>0</v>
      </c>
      <c r="J27" s="182">
        <v>30</v>
      </c>
      <c r="K27" s="182">
        <v>30</v>
      </c>
      <c r="L27" s="233">
        <f t="shared" si="1"/>
        <v>100</v>
      </c>
      <c r="M27" s="235">
        <f t="shared" si="2"/>
        <v>0</v>
      </c>
    </row>
    <row r="28" spans="1:13" ht="63.2" customHeight="1" x14ac:dyDescent="0.25">
      <c r="A28" s="26" t="s">
        <v>149</v>
      </c>
      <c r="B28" s="21">
        <v>650</v>
      </c>
      <c r="C28" s="23">
        <v>1</v>
      </c>
      <c r="D28" s="23">
        <v>13</v>
      </c>
      <c r="E28" s="22" t="s">
        <v>150</v>
      </c>
      <c r="F28" s="21" t="s">
        <v>26</v>
      </c>
      <c r="G28" s="75">
        <v>2540.4</v>
      </c>
      <c r="H28" s="25"/>
      <c r="I28" s="74">
        <f t="shared" si="0"/>
        <v>-299.43000000000029</v>
      </c>
      <c r="J28" s="77">
        <f>J29+J30+J31</f>
        <v>2240.9699999999998</v>
      </c>
      <c r="K28" s="77">
        <f>K29+K30+K31</f>
        <v>1948.06</v>
      </c>
      <c r="L28" s="233">
        <f t="shared" si="1"/>
        <v>86.929320785195713</v>
      </c>
      <c r="M28" s="235">
        <f t="shared" si="2"/>
        <v>292.90999999999985</v>
      </c>
    </row>
    <row r="29" spans="1:13" ht="47.25" customHeight="1" x14ac:dyDescent="0.25">
      <c r="A29" s="26" t="s">
        <v>139</v>
      </c>
      <c r="B29" s="21">
        <v>650</v>
      </c>
      <c r="C29" s="23">
        <v>1</v>
      </c>
      <c r="D29" s="23">
        <v>13</v>
      </c>
      <c r="E29" s="22" t="s">
        <v>150</v>
      </c>
      <c r="F29" s="21" t="s">
        <v>140</v>
      </c>
      <c r="G29" s="75">
        <v>2082.6</v>
      </c>
      <c r="H29" s="25"/>
      <c r="I29" s="74">
        <f t="shared" si="0"/>
        <v>136.36999999999989</v>
      </c>
      <c r="J29" s="77">
        <v>2218.9699999999998</v>
      </c>
      <c r="K29" s="77">
        <v>1927.23</v>
      </c>
      <c r="L29" s="233">
        <f t="shared" si="1"/>
        <v>86.852458573121766</v>
      </c>
      <c r="M29" s="235">
        <f t="shared" si="2"/>
        <v>291.73999999999978</v>
      </c>
    </row>
    <row r="30" spans="1:13" ht="150.75" customHeight="1" x14ac:dyDescent="0.25">
      <c r="A30" s="26" t="s">
        <v>276</v>
      </c>
      <c r="B30" s="21">
        <v>650</v>
      </c>
      <c r="C30" s="23">
        <v>1</v>
      </c>
      <c r="D30" s="23">
        <v>13</v>
      </c>
      <c r="E30" s="22" t="s">
        <v>150</v>
      </c>
      <c r="F30" s="21">
        <v>831</v>
      </c>
      <c r="G30" s="75">
        <v>0</v>
      </c>
      <c r="H30" s="25"/>
      <c r="I30" s="74">
        <f t="shared" si="0"/>
        <v>10</v>
      </c>
      <c r="J30" s="77">
        <v>10</v>
      </c>
      <c r="K30" s="77">
        <v>10</v>
      </c>
      <c r="L30" s="233">
        <f t="shared" si="1"/>
        <v>100</v>
      </c>
      <c r="M30" s="235">
        <f t="shared" si="2"/>
        <v>0</v>
      </c>
    </row>
    <row r="31" spans="1:13" ht="47.25" customHeight="1" x14ac:dyDescent="0.25">
      <c r="A31" s="26" t="s">
        <v>277</v>
      </c>
      <c r="B31" s="21">
        <v>650</v>
      </c>
      <c r="C31" s="23">
        <v>1</v>
      </c>
      <c r="D31" s="23">
        <v>13</v>
      </c>
      <c r="E31" s="22" t="s">
        <v>150</v>
      </c>
      <c r="F31" s="21">
        <v>852</v>
      </c>
      <c r="G31" s="75">
        <v>0</v>
      </c>
      <c r="H31" s="25"/>
      <c r="I31" s="74">
        <f t="shared" si="0"/>
        <v>12</v>
      </c>
      <c r="J31" s="77">
        <v>12</v>
      </c>
      <c r="K31" s="77">
        <v>10.83</v>
      </c>
      <c r="L31" s="233">
        <f t="shared" si="1"/>
        <v>90.25</v>
      </c>
      <c r="M31" s="235">
        <f t="shared" si="2"/>
        <v>1.17</v>
      </c>
    </row>
    <row r="32" spans="1:13" ht="42.75" customHeight="1" x14ac:dyDescent="0.25">
      <c r="A32" s="26" t="s">
        <v>151</v>
      </c>
      <c r="B32" s="21">
        <v>650</v>
      </c>
      <c r="C32" s="23">
        <v>1</v>
      </c>
      <c r="D32" s="23">
        <v>13</v>
      </c>
      <c r="E32" s="22" t="s">
        <v>152</v>
      </c>
      <c r="F32" s="21" t="s">
        <v>26</v>
      </c>
      <c r="G32" s="24">
        <v>5</v>
      </c>
      <c r="H32" s="25"/>
      <c r="I32" s="74">
        <f t="shared" si="0"/>
        <v>-3.2</v>
      </c>
      <c r="J32" s="182">
        <f>J33</f>
        <v>1.8</v>
      </c>
      <c r="K32" s="182">
        <f>K33</f>
        <v>1.8</v>
      </c>
      <c r="L32" s="233">
        <f t="shared" si="1"/>
        <v>100</v>
      </c>
      <c r="M32" s="235">
        <f t="shared" si="2"/>
        <v>0</v>
      </c>
    </row>
    <row r="33" spans="1:13" ht="30" customHeight="1" x14ac:dyDescent="0.25">
      <c r="A33" s="26" t="s">
        <v>139</v>
      </c>
      <c r="B33" s="21">
        <v>650</v>
      </c>
      <c r="C33" s="23">
        <v>1</v>
      </c>
      <c r="D33" s="23">
        <v>13</v>
      </c>
      <c r="E33" s="22" t="s">
        <v>152</v>
      </c>
      <c r="F33" s="21" t="s">
        <v>140</v>
      </c>
      <c r="G33" s="24">
        <v>5</v>
      </c>
      <c r="H33" s="25"/>
      <c r="I33" s="74">
        <f t="shared" si="0"/>
        <v>-3.2</v>
      </c>
      <c r="J33" s="182">
        <v>1.8</v>
      </c>
      <c r="K33" s="182">
        <v>1.8</v>
      </c>
      <c r="L33" s="233">
        <f t="shared" si="1"/>
        <v>100</v>
      </c>
      <c r="M33" s="235">
        <f t="shared" si="2"/>
        <v>0</v>
      </c>
    </row>
    <row r="34" spans="1:13" ht="82.5" customHeight="1" x14ac:dyDescent="0.25">
      <c r="A34" s="16" t="s">
        <v>275</v>
      </c>
      <c r="B34" s="21">
        <v>650</v>
      </c>
      <c r="C34" s="23">
        <v>1</v>
      </c>
      <c r="D34" s="23">
        <v>13</v>
      </c>
      <c r="E34" s="22">
        <v>2510059</v>
      </c>
      <c r="F34" s="21">
        <v>0</v>
      </c>
      <c r="G34" s="24">
        <f>G35+G36+G37</f>
        <v>0</v>
      </c>
      <c r="H34" s="25"/>
      <c r="I34" s="74">
        <f t="shared" si="0"/>
        <v>484.79999999999995</v>
      </c>
      <c r="J34" s="182">
        <f>J35+J36+J37</f>
        <v>484.79999999999995</v>
      </c>
      <c r="K34" s="182">
        <f>K35+K36+K37</f>
        <v>345.97999999999996</v>
      </c>
      <c r="L34" s="233">
        <f t="shared" si="1"/>
        <v>71.365511551155109</v>
      </c>
      <c r="M34" s="235">
        <f t="shared" si="2"/>
        <v>138.82</v>
      </c>
    </row>
    <row r="35" spans="1:13" ht="30" customHeight="1" x14ac:dyDescent="0.25">
      <c r="A35" s="26" t="s">
        <v>154</v>
      </c>
      <c r="B35" s="21">
        <v>650</v>
      </c>
      <c r="C35" s="23">
        <v>1</v>
      </c>
      <c r="D35" s="23">
        <v>13</v>
      </c>
      <c r="E35" s="22">
        <v>2510059</v>
      </c>
      <c r="F35" s="21">
        <v>111</v>
      </c>
      <c r="G35" s="24">
        <v>0</v>
      </c>
      <c r="H35" s="25"/>
      <c r="I35" s="74">
        <f t="shared" si="0"/>
        <v>323.39999999999998</v>
      </c>
      <c r="J35" s="182">
        <v>323.39999999999998</v>
      </c>
      <c r="K35" s="182">
        <v>251.17</v>
      </c>
      <c r="L35" s="233">
        <f t="shared" si="1"/>
        <v>77.665429808286959</v>
      </c>
      <c r="M35" s="235">
        <f t="shared" si="2"/>
        <v>72.22999999999999</v>
      </c>
    </row>
    <row r="36" spans="1:13" ht="30" customHeight="1" x14ac:dyDescent="0.25">
      <c r="A36" s="26" t="s">
        <v>139</v>
      </c>
      <c r="B36" s="21">
        <v>650</v>
      </c>
      <c r="C36" s="23">
        <v>1</v>
      </c>
      <c r="D36" s="23">
        <v>13</v>
      </c>
      <c r="E36" s="22">
        <v>2510059</v>
      </c>
      <c r="F36" s="21">
        <v>244</v>
      </c>
      <c r="G36" s="24">
        <v>0</v>
      </c>
      <c r="H36" s="25"/>
      <c r="I36" s="74">
        <f t="shared" si="0"/>
        <v>159.4</v>
      </c>
      <c r="J36" s="182">
        <v>159.4</v>
      </c>
      <c r="K36" s="182">
        <v>94.16</v>
      </c>
      <c r="L36" s="233">
        <f t="shared" si="1"/>
        <v>59.071518193224591</v>
      </c>
      <c r="M36" s="235">
        <f t="shared" si="2"/>
        <v>65.240000000000009</v>
      </c>
    </row>
    <row r="37" spans="1:13" ht="30" customHeight="1" x14ac:dyDescent="0.25">
      <c r="A37" s="26" t="s">
        <v>277</v>
      </c>
      <c r="B37" s="21">
        <v>650</v>
      </c>
      <c r="C37" s="23">
        <v>1</v>
      </c>
      <c r="D37" s="23">
        <v>13</v>
      </c>
      <c r="E37" s="22">
        <v>2510059</v>
      </c>
      <c r="F37" s="21">
        <v>852</v>
      </c>
      <c r="G37" s="24">
        <v>0</v>
      </c>
      <c r="H37" s="25"/>
      <c r="I37" s="74">
        <f t="shared" si="0"/>
        <v>2</v>
      </c>
      <c r="J37" s="182">
        <v>2</v>
      </c>
      <c r="K37" s="182">
        <v>0.65</v>
      </c>
      <c r="L37" s="233">
        <f t="shared" si="1"/>
        <v>32.5</v>
      </c>
      <c r="M37" s="235">
        <f t="shared" si="2"/>
        <v>1.35</v>
      </c>
    </row>
    <row r="38" spans="1:13" ht="32.25" customHeight="1" x14ac:dyDescent="0.25">
      <c r="A38" s="26" t="s">
        <v>79</v>
      </c>
      <c r="B38" s="21">
        <v>650</v>
      </c>
      <c r="C38" s="23">
        <v>1</v>
      </c>
      <c r="D38" s="23">
        <v>13</v>
      </c>
      <c r="E38" s="22" t="s">
        <v>153</v>
      </c>
      <c r="F38" s="21" t="s">
        <v>26</v>
      </c>
      <c r="G38" s="24">
        <v>556.1</v>
      </c>
      <c r="H38" s="25"/>
      <c r="I38" s="74">
        <f t="shared" ref="I38:I58" si="3">J38-G38</f>
        <v>-303.3</v>
      </c>
      <c r="J38" s="182">
        <f>J39+J40+J41</f>
        <v>252.8</v>
      </c>
      <c r="K38" s="182">
        <f>K39+K40+K41</f>
        <v>238.77</v>
      </c>
      <c r="L38" s="233">
        <f t="shared" si="1"/>
        <v>94.450158227848107</v>
      </c>
      <c r="M38" s="235">
        <f t="shared" si="2"/>
        <v>14.030000000000001</v>
      </c>
    </row>
    <row r="39" spans="1:13" ht="41.45" customHeight="1" x14ac:dyDescent="0.25">
      <c r="A39" s="26" t="s">
        <v>156</v>
      </c>
      <c r="B39" s="21">
        <v>650</v>
      </c>
      <c r="C39" s="23">
        <v>1</v>
      </c>
      <c r="D39" s="23">
        <v>13</v>
      </c>
      <c r="E39" s="22" t="s">
        <v>153</v>
      </c>
      <c r="F39" s="21" t="s">
        <v>157</v>
      </c>
      <c r="G39" s="24">
        <v>30</v>
      </c>
      <c r="H39" s="25"/>
      <c r="I39" s="74">
        <f t="shared" si="3"/>
        <v>-20.7</v>
      </c>
      <c r="J39" s="182">
        <v>9.3000000000000007</v>
      </c>
      <c r="K39" s="182">
        <v>9.3000000000000007</v>
      </c>
      <c r="L39" s="233">
        <f t="shared" si="1"/>
        <v>100</v>
      </c>
      <c r="M39" s="235">
        <f t="shared" si="2"/>
        <v>0</v>
      </c>
    </row>
    <row r="40" spans="1:13" ht="43.5" customHeight="1" x14ac:dyDescent="0.25">
      <c r="A40" s="26" t="s">
        <v>137</v>
      </c>
      <c r="B40" s="21">
        <v>650</v>
      </c>
      <c r="C40" s="23">
        <v>1</v>
      </c>
      <c r="D40" s="23">
        <v>13</v>
      </c>
      <c r="E40" s="22" t="s">
        <v>153</v>
      </c>
      <c r="F40" s="21" t="s">
        <v>138</v>
      </c>
      <c r="G40" s="24">
        <v>376.1</v>
      </c>
      <c r="H40" s="25"/>
      <c r="I40" s="74">
        <f t="shared" si="3"/>
        <v>-246.8</v>
      </c>
      <c r="J40" s="182">
        <v>129.30000000000001</v>
      </c>
      <c r="K40" s="182">
        <v>125.31</v>
      </c>
      <c r="L40" s="233">
        <f t="shared" si="1"/>
        <v>96.914153132250576</v>
      </c>
      <c r="M40" s="235">
        <f t="shared" si="2"/>
        <v>3.9900000000000091</v>
      </c>
    </row>
    <row r="41" spans="1:13" ht="52.5" customHeight="1" x14ac:dyDescent="0.25">
      <c r="A41" s="26" t="s">
        <v>139</v>
      </c>
      <c r="B41" s="21">
        <v>650</v>
      </c>
      <c r="C41" s="23">
        <v>1</v>
      </c>
      <c r="D41" s="23">
        <v>13</v>
      </c>
      <c r="E41" s="22" t="s">
        <v>153</v>
      </c>
      <c r="F41" s="21" t="s">
        <v>140</v>
      </c>
      <c r="G41" s="24">
        <v>150</v>
      </c>
      <c r="H41" s="25"/>
      <c r="I41" s="74">
        <f t="shared" si="3"/>
        <v>-35.799999999999997</v>
      </c>
      <c r="J41" s="182">
        <v>114.2</v>
      </c>
      <c r="K41" s="182">
        <v>104.16</v>
      </c>
      <c r="L41" s="233">
        <f t="shared" si="1"/>
        <v>91.208406304728541</v>
      </c>
      <c r="M41" s="235">
        <f t="shared" si="2"/>
        <v>10.040000000000006</v>
      </c>
    </row>
    <row r="42" spans="1:13" ht="29.25" customHeight="1" x14ac:dyDescent="0.25">
      <c r="A42" s="63" t="s">
        <v>10</v>
      </c>
      <c r="B42" s="64">
        <v>650</v>
      </c>
      <c r="C42" s="65">
        <v>2</v>
      </c>
      <c r="D42" s="65">
        <v>0</v>
      </c>
      <c r="E42" s="66" t="s">
        <v>128</v>
      </c>
      <c r="F42" s="64" t="s">
        <v>26</v>
      </c>
      <c r="G42" s="67">
        <v>164</v>
      </c>
      <c r="H42" s="68">
        <f>G42</f>
        <v>164</v>
      </c>
      <c r="I42" s="72">
        <f t="shared" si="3"/>
        <v>0</v>
      </c>
      <c r="J42" s="183">
        <f t="shared" ref="J42:K44" si="4">J43</f>
        <v>164</v>
      </c>
      <c r="K42" s="183">
        <f t="shared" si="4"/>
        <v>164</v>
      </c>
      <c r="L42" s="238">
        <f t="shared" si="1"/>
        <v>100</v>
      </c>
      <c r="M42" s="236">
        <f t="shared" si="2"/>
        <v>0</v>
      </c>
    </row>
    <row r="43" spans="1:13" ht="24.75" customHeight="1" x14ac:dyDescent="0.25">
      <c r="A43" s="26" t="s">
        <v>11</v>
      </c>
      <c r="B43" s="21">
        <v>650</v>
      </c>
      <c r="C43" s="23">
        <v>2</v>
      </c>
      <c r="D43" s="23">
        <v>3</v>
      </c>
      <c r="E43" s="22" t="s">
        <v>128</v>
      </c>
      <c r="F43" s="21" t="s">
        <v>26</v>
      </c>
      <c r="G43" s="24">
        <v>164</v>
      </c>
      <c r="H43" s="27">
        <f t="shared" ref="H43:H45" si="5">G43</f>
        <v>164</v>
      </c>
      <c r="I43" s="74">
        <f t="shared" si="3"/>
        <v>0</v>
      </c>
      <c r="J43" s="182">
        <f t="shared" si="4"/>
        <v>164</v>
      </c>
      <c r="K43" s="182">
        <f t="shared" si="4"/>
        <v>164</v>
      </c>
      <c r="L43" s="233">
        <f t="shared" si="1"/>
        <v>100</v>
      </c>
      <c r="M43" s="235">
        <f t="shared" si="2"/>
        <v>0</v>
      </c>
    </row>
    <row r="44" spans="1:13" ht="47.25" customHeight="1" x14ac:dyDescent="0.25">
      <c r="A44" s="26" t="s">
        <v>158</v>
      </c>
      <c r="B44" s="21">
        <v>650</v>
      </c>
      <c r="C44" s="23">
        <v>2</v>
      </c>
      <c r="D44" s="23">
        <v>3</v>
      </c>
      <c r="E44" s="22" t="s">
        <v>159</v>
      </c>
      <c r="F44" s="21" t="s">
        <v>26</v>
      </c>
      <c r="G44" s="24">
        <v>164</v>
      </c>
      <c r="H44" s="27">
        <f t="shared" si="5"/>
        <v>164</v>
      </c>
      <c r="I44" s="74">
        <f t="shared" si="3"/>
        <v>0</v>
      </c>
      <c r="J44" s="182">
        <f t="shared" si="4"/>
        <v>164</v>
      </c>
      <c r="K44" s="182">
        <f t="shared" si="4"/>
        <v>164</v>
      </c>
      <c r="L44" s="233">
        <f t="shared" si="1"/>
        <v>100</v>
      </c>
      <c r="M44" s="235">
        <f t="shared" si="2"/>
        <v>0</v>
      </c>
    </row>
    <row r="45" spans="1:13" ht="44.25" customHeight="1" x14ac:dyDescent="0.25">
      <c r="A45" s="26" t="s">
        <v>133</v>
      </c>
      <c r="B45" s="21">
        <v>650</v>
      </c>
      <c r="C45" s="23">
        <v>2</v>
      </c>
      <c r="D45" s="23">
        <v>3</v>
      </c>
      <c r="E45" s="22" t="s">
        <v>159</v>
      </c>
      <c r="F45" s="21" t="s">
        <v>134</v>
      </c>
      <c r="G45" s="24">
        <v>164</v>
      </c>
      <c r="H45" s="27">
        <f t="shared" si="5"/>
        <v>164</v>
      </c>
      <c r="I45" s="74">
        <f t="shared" si="3"/>
        <v>0</v>
      </c>
      <c r="J45" s="182">
        <v>164</v>
      </c>
      <c r="K45" s="182">
        <v>164</v>
      </c>
      <c r="L45" s="233">
        <f t="shared" si="1"/>
        <v>100</v>
      </c>
      <c r="M45" s="235">
        <f t="shared" si="2"/>
        <v>0</v>
      </c>
    </row>
    <row r="46" spans="1:13" ht="34.5" customHeight="1" x14ac:dyDescent="0.25">
      <c r="A46" s="63" t="s">
        <v>12</v>
      </c>
      <c r="B46" s="64">
        <v>650</v>
      </c>
      <c r="C46" s="65">
        <v>3</v>
      </c>
      <c r="D46" s="65">
        <v>0</v>
      </c>
      <c r="E46" s="66" t="s">
        <v>128</v>
      </c>
      <c r="F46" s="64" t="s">
        <v>26</v>
      </c>
      <c r="G46" s="67">
        <v>110</v>
      </c>
      <c r="H46" s="69">
        <f>H47</f>
        <v>40</v>
      </c>
      <c r="I46" s="72">
        <f t="shared" si="3"/>
        <v>-51.2</v>
      </c>
      <c r="J46" s="183">
        <f>J47+J50+J55</f>
        <v>58.8</v>
      </c>
      <c r="K46" s="183">
        <f>K47+K50+K55</f>
        <v>55.6</v>
      </c>
      <c r="L46" s="238">
        <f t="shared" si="1"/>
        <v>94.557823129251702</v>
      </c>
      <c r="M46" s="236">
        <f t="shared" si="2"/>
        <v>3.1999999999999957</v>
      </c>
    </row>
    <row r="47" spans="1:13" ht="23.25" customHeight="1" x14ac:dyDescent="0.25">
      <c r="A47" s="26" t="s">
        <v>13</v>
      </c>
      <c r="B47" s="21">
        <v>650</v>
      </c>
      <c r="C47" s="23">
        <v>3</v>
      </c>
      <c r="D47" s="23">
        <v>4</v>
      </c>
      <c r="E47" s="22" t="s">
        <v>128</v>
      </c>
      <c r="F47" s="21" t="s">
        <v>26</v>
      </c>
      <c r="G47" s="24">
        <v>40</v>
      </c>
      <c r="H47" s="27">
        <f>G47</f>
        <v>40</v>
      </c>
      <c r="I47" s="74">
        <f t="shared" si="3"/>
        <v>0</v>
      </c>
      <c r="J47" s="182">
        <f>J48</f>
        <v>40</v>
      </c>
      <c r="K47" s="182">
        <f>K48</f>
        <v>40</v>
      </c>
      <c r="L47" s="233">
        <f t="shared" si="1"/>
        <v>100</v>
      </c>
      <c r="M47" s="235">
        <f t="shared" si="2"/>
        <v>0</v>
      </c>
    </row>
    <row r="48" spans="1:13" ht="108.75" customHeight="1" x14ac:dyDescent="0.25">
      <c r="A48" s="15" t="s">
        <v>268</v>
      </c>
      <c r="B48" s="21">
        <v>650</v>
      </c>
      <c r="C48" s="23">
        <v>3</v>
      </c>
      <c r="D48" s="23">
        <v>4</v>
      </c>
      <c r="E48" s="22">
        <v>1315931</v>
      </c>
      <c r="F48" s="21">
        <v>0</v>
      </c>
      <c r="G48" s="24">
        <v>40</v>
      </c>
      <c r="H48" s="27">
        <v>40</v>
      </c>
      <c r="I48" s="74">
        <f t="shared" si="3"/>
        <v>0</v>
      </c>
      <c r="J48" s="182">
        <f>J49</f>
        <v>40</v>
      </c>
      <c r="K48" s="182">
        <f>K49</f>
        <v>40</v>
      </c>
      <c r="L48" s="233">
        <f t="shared" si="1"/>
        <v>100</v>
      </c>
      <c r="M48" s="235">
        <f t="shared" si="2"/>
        <v>0</v>
      </c>
    </row>
    <row r="49" spans="1:13" ht="54.75" customHeight="1" x14ac:dyDescent="0.25">
      <c r="A49" s="26" t="s">
        <v>139</v>
      </c>
      <c r="B49" s="21">
        <v>650</v>
      </c>
      <c r="C49" s="23">
        <v>3</v>
      </c>
      <c r="D49" s="23">
        <v>4</v>
      </c>
      <c r="E49" s="22">
        <v>1315931</v>
      </c>
      <c r="F49" s="21">
        <v>244</v>
      </c>
      <c r="G49" s="24">
        <v>40</v>
      </c>
      <c r="H49" s="27">
        <f t="shared" ref="H49" si="6">G49</f>
        <v>40</v>
      </c>
      <c r="I49" s="74">
        <f t="shared" si="3"/>
        <v>0</v>
      </c>
      <c r="J49" s="182">
        <v>40</v>
      </c>
      <c r="K49" s="182">
        <v>40</v>
      </c>
      <c r="L49" s="233">
        <f t="shared" si="1"/>
        <v>100</v>
      </c>
      <c r="M49" s="235">
        <f t="shared" si="2"/>
        <v>0</v>
      </c>
    </row>
    <row r="50" spans="1:13" ht="57" customHeight="1" x14ac:dyDescent="0.25">
      <c r="A50" s="26" t="s">
        <v>39</v>
      </c>
      <c r="B50" s="21">
        <v>650</v>
      </c>
      <c r="C50" s="23">
        <v>3</v>
      </c>
      <c r="D50" s="23">
        <v>9</v>
      </c>
      <c r="E50" s="22" t="s">
        <v>128</v>
      </c>
      <c r="F50" s="21" t="s">
        <v>26</v>
      </c>
      <c r="G50" s="24">
        <v>60</v>
      </c>
      <c r="H50" s="25"/>
      <c r="I50" s="74">
        <f t="shared" si="3"/>
        <v>-51.2</v>
      </c>
      <c r="J50" s="182">
        <f>J51+J53</f>
        <v>8.8000000000000007</v>
      </c>
      <c r="K50" s="182">
        <f>K51+K53</f>
        <v>5.6</v>
      </c>
      <c r="L50" s="233">
        <f t="shared" si="1"/>
        <v>63.636363636363626</v>
      </c>
      <c r="M50" s="235">
        <f t="shared" si="2"/>
        <v>3.2000000000000011</v>
      </c>
    </row>
    <row r="51" spans="1:13" ht="62.25" customHeight="1" x14ac:dyDescent="0.25">
      <c r="A51" s="26" t="s">
        <v>160</v>
      </c>
      <c r="B51" s="21">
        <v>650</v>
      </c>
      <c r="C51" s="23">
        <v>3</v>
      </c>
      <c r="D51" s="23">
        <v>9</v>
      </c>
      <c r="E51" s="22" t="s">
        <v>161</v>
      </c>
      <c r="F51" s="21" t="s">
        <v>26</v>
      </c>
      <c r="G51" s="24">
        <v>5</v>
      </c>
      <c r="H51" s="25"/>
      <c r="I51" s="74">
        <f t="shared" si="3"/>
        <v>0</v>
      </c>
      <c r="J51" s="182">
        <f>J52</f>
        <v>5</v>
      </c>
      <c r="K51" s="182">
        <f>K52</f>
        <v>1.8</v>
      </c>
      <c r="L51" s="233">
        <f t="shared" si="1"/>
        <v>36</v>
      </c>
      <c r="M51" s="235">
        <f t="shared" si="2"/>
        <v>3.2</v>
      </c>
    </row>
    <row r="52" spans="1:13" ht="48.75" customHeight="1" x14ac:dyDescent="0.25">
      <c r="A52" s="26" t="s">
        <v>139</v>
      </c>
      <c r="B52" s="21">
        <v>650</v>
      </c>
      <c r="C52" s="23">
        <v>3</v>
      </c>
      <c r="D52" s="23">
        <v>9</v>
      </c>
      <c r="E52" s="22" t="s">
        <v>161</v>
      </c>
      <c r="F52" s="21" t="s">
        <v>140</v>
      </c>
      <c r="G52" s="24">
        <v>5</v>
      </c>
      <c r="H52" s="25"/>
      <c r="I52" s="74">
        <f t="shared" si="3"/>
        <v>0</v>
      </c>
      <c r="J52" s="182">
        <v>5</v>
      </c>
      <c r="K52" s="182">
        <v>1.8</v>
      </c>
      <c r="L52" s="233">
        <f t="shared" si="1"/>
        <v>36</v>
      </c>
      <c r="M52" s="235">
        <f t="shared" si="2"/>
        <v>3.2</v>
      </c>
    </row>
    <row r="53" spans="1:13" ht="42.75" customHeight="1" x14ac:dyDescent="0.25">
      <c r="A53" s="26" t="s">
        <v>162</v>
      </c>
      <c r="B53" s="21">
        <v>650</v>
      </c>
      <c r="C53" s="23">
        <v>3</v>
      </c>
      <c r="D53" s="23">
        <v>9</v>
      </c>
      <c r="E53" s="22" t="s">
        <v>163</v>
      </c>
      <c r="F53" s="21" t="s">
        <v>26</v>
      </c>
      <c r="G53" s="24">
        <v>5</v>
      </c>
      <c r="H53" s="25"/>
      <c r="I53" s="74">
        <f t="shared" si="3"/>
        <v>-1.2000000000000002</v>
      </c>
      <c r="J53" s="182">
        <f>J54</f>
        <v>3.8</v>
      </c>
      <c r="K53" s="182">
        <f>K54</f>
        <v>3.8</v>
      </c>
      <c r="L53" s="233">
        <f t="shared" si="1"/>
        <v>100</v>
      </c>
      <c r="M53" s="235">
        <f t="shared" si="2"/>
        <v>0</v>
      </c>
    </row>
    <row r="54" spans="1:13" ht="44.25" customHeight="1" x14ac:dyDescent="0.25">
      <c r="A54" s="26" t="s">
        <v>139</v>
      </c>
      <c r="B54" s="21">
        <v>650</v>
      </c>
      <c r="C54" s="23">
        <v>3</v>
      </c>
      <c r="D54" s="23">
        <v>9</v>
      </c>
      <c r="E54" s="22" t="s">
        <v>163</v>
      </c>
      <c r="F54" s="21" t="s">
        <v>140</v>
      </c>
      <c r="G54" s="24">
        <v>5</v>
      </c>
      <c r="H54" s="25"/>
      <c r="I54" s="74">
        <f t="shared" si="3"/>
        <v>-1.2000000000000002</v>
      </c>
      <c r="J54" s="182">
        <v>3.8</v>
      </c>
      <c r="K54" s="182">
        <v>3.8</v>
      </c>
      <c r="L54" s="233">
        <f t="shared" si="1"/>
        <v>100</v>
      </c>
      <c r="M54" s="235">
        <f t="shared" si="2"/>
        <v>0</v>
      </c>
    </row>
    <row r="55" spans="1:13" ht="44.25" customHeight="1" x14ac:dyDescent="0.25">
      <c r="A55" s="26" t="s">
        <v>263</v>
      </c>
      <c r="B55" s="21">
        <v>650</v>
      </c>
      <c r="C55" s="23">
        <v>3</v>
      </c>
      <c r="D55" s="23">
        <v>14</v>
      </c>
      <c r="E55" s="22">
        <v>1322103</v>
      </c>
      <c r="F55" s="21">
        <v>0</v>
      </c>
      <c r="G55" s="24">
        <v>10</v>
      </c>
      <c r="H55" s="25"/>
      <c r="I55" s="74">
        <f t="shared" si="3"/>
        <v>0</v>
      </c>
      <c r="J55" s="182">
        <f>J56</f>
        <v>10</v>
      </c>
      <c r="K55" s="182">
        <f>K56</f>
        <v>10</v>
      </c>
      <c r="L55" s="233">
        <f t="shared" si="1"/>
        <v>100</v>
      </c>
      <c r="M55" s="235">
        <f t="shared" si="2"/>
        <v>0</v>
      </c>
    </row>
    <row r="56" spans="1:13" ht="44.25" customHeight="1" x14ac:dyDescent="0.25">
      <c r="A56" s="26" t="s">
        <v>139</v>
      </c>
      <c r="B56" s="21">
        <v>650</v>
      </c>
      <c r="C56" s="23">
        <v>3</v>
      </c>
      <c r="D56" s="23">
        <v>14</v>
      </c>
      <c r="E56" s="22">
        <v>1322103</v>
      </c>
      <c r="F56" s="21">
        <v>244</v>
      </c>
      <c r="G56" s="24">
        <v>10</v>
      </c>
      <c r="H56" s="25"/>
      <c r="I56" s="74">
        <f t="shared" si="3"/>
        <v>0</v>
      </c>
      <c r="J56" s="182">
        <v>10</v>
      </c>
      <c r="K56" s="182">
        <v>10</v>
      </c>
      <c r="L56" s="233">
        <f t="shared" si="1"/>
        <v>100</v>
      </c>
      <c r="M56" s="235">
        <f t="shared" si="2"/>
        <v>0</v>
      </c>
    </row>
    <row r="57" spans="1:13" ht="18.75" customHeight="1" x14ac:dyDescent="0.25">
      <c r="A57" s="63" t="s">
        <v>14</v>
      </c>
      <c r="B57" s="64">
        <v>650</v>
      </c>
      <c r="C57" s="65">
        <v>4</v>
      </c>
      <c r="D57" s="65">
        <v>0</v>
      </c>
      <c r="E57" s="66" t="s">
        <v>128</v>
      </c>
      <c r="F57" s="64" t="s">
        <v>26</v>
      </c>
      <c r="G57" s="85">
        <v>937.3</v>
      </c>
      <c r="H57" s="41"/>
      <c r="I57" s="72">
        <f t="shared" si="3"/>
        <v>248.22000000000003</v>
      </c>
      <c r="J57" s="198">
        <f>J58+J61+J67</f>
        <v>1185.52</v>
      </c>
      <c r="K57" s="84">
        <f>K58+K61+K67</f>
        <v>1077.4939999999999</v>
      </c>
      <c r="L57" s="238">
        <f t="shared" si="1"/>
        <v>90.887880423780274</v>
      </c>
      <c r="M57" s="236">
        <f t="shared" si="2"/>
        <v>108.02600000000007</v>
      </c>
    </row>
    <row r="58" spans="1:13" ht="18.75" customHeight="1" x14ac:dyDescent="0.25">
      <c r="A58" s="26" t="s">
        <v>222</v>
      </c>
      <c r="B58" s="21">
        <v>650</v>
      </c>
      <c r="C58" s="23">
        <v>4</v>
      </c>
      <c r="D58" s="23">
        <v>1</v>
      </c>
      <c r="E58" s="22">
        <v>0</v>
      </c>
      <c r="F58" s="21">
        <v>0</v>
      </c>
      <c r="G58" s="75">
        <v>76</v>
      </c>
      <c r="H58" s="25"/>
      <c r="I58" s="86">
        <f t="shared" si="3"/>
        <v>-1.0499999999999972</v>
      </c>
      <c r="J58" s="77">
        <f>J59</f>
        <v>74.95</v>
      </c>
      <c r="K58" s="77">
        <f>K59</f>
        <v>74.95</v>
      </c>
      <c r="L58" s="233">
        <f t="shared" si="1"/>
        <v>100</v>
      </c>
      <c r="M58" s="235">
        <f t="shared" si="2"/>
        <v>0</v>
      </c>
    </row>
    <row r="59" spans="1:13" ht="78" customHeight="1" x14ac:dyDescent="0.25">
      <c r="A59" s="26" t="s">
        <v>258</v>
      </c>
      <c r="B59" s="21">
        <v>650</v>
      </c>
      <c r="C59" s="23">
        <v>4</v>
      </c>
      <c r="D59" s="23">
        <v>1</v>
      </c>
      <c r="E59" s="22">
        <v>715604</v>
      </c>
      <c r="F59" s="21">
        <v>0</v>
      </c>
      <c r="G59" s="75">
        <v>76</v>
      </c>
      <c r="H59" s="25"/>
      <c r="I59" s="86">
        <f>I60</f>
        <v>-1.0499999999999972</v>
      </c>
      <c r="J59" s="77">
        <f>J60</f>
        <v>74.95</v>
      </c>
      <c r="K59" s="77">
        <f>K60</f>
        <v>74.95</v>
      </c>
      <c r="L59" s="233">
        <f t="shared" si="1"/>
        <v>100</v>
      </c>
      <c r="M59" s="235">
        <f t="shared" si="2"/>
        <v>0</v>
      </c>
    </row>
    <row r="60" spans="1:13" ht="51.75" customHeight="1" x14ac:dyDescent="0.25">
      <c r="A60" s="26" t="s">
        <v>154</v>
      </c>
      <c r="B60" s="21">
        <v>650</v>
      </c>
      <c r="C60" s="23">
        <v>4</v>
      </c>
      <c r="D60" s="23">
        <v>1</v>
      </c>
      <c r="E60" s="22">
        <v>715604</v>
      </c>
      <c r="F60" s="21">
        <v>111</v>
      </c>
      <c r="G60" s="75">
        <v>76</v>
      </c>
      <c r="H60" s="25"/>
      <c r="I60" s="86">
        <f t="shared" ref="I60:I66" si="7">J60-G60</f>
        <v>-1.0499999999999972</v>
      </c>
      <c r="J60" s="77">
        <v>74.95</v>
      </c>
      <c r="K60" s="77">
        <v>74.95</v>
      </c>
      <c r="L60" s="233">
        <f t="shared" si="1"/>
        <v>100</v>
      </c>
      <c r="M60" s="235">
        <f t="shared" si="2"/>
        <v>0</v>
      </c>
    </row>
    <row r="61" spans="1:13" ht="23.25" customHeight="1" x14ac:dyDescent="0.25">
      <c r="A61" s="26" t="s">
        <v>15</v>
      </c>
      <c r="B61" s="21">
        <v>650</v>
      </c>
      <c r="C61" s="23">
        <v>4</v>
      </c>
      <c r="D61" s="23">
        <v>10</v>
      </c>
      <c r="E61" s="22">
        <v>0</v>
      </c>
      <c r="F61" s="21">
        <v>0</v>
      </c>
      <c r="G61" s="75">
        <f>G62+G64</f>
        <v>815</v>
      </c>
      <c r="H61" s="25"/>
      <c r="I61" s="74">
        <f t="shared" si="7"/>
        <v>266</v>
      </c>
      <c r="J61" s="77">
        <f>J64+J62</f>
        <v>1081</v>
      </c>
      <c r="K61" s="77">
        <f>K64+K62</f>
        <v>972.97399999999993</v>
      </c>
      <c r="L61" s="233">
        <f t="shared" ref="L61:L114" si="8">K61/J61*100</f>
        <v>90.006845513413509</v>
      </c>
      <c r="M61" s="235">
        <f t="shared" ref="M61:M114" si="9">J61-K61</f>
        <v>108.02600000000007</v>
      </c>
    </row>
    <row r="62" spans="1:13" ht="82.5" customHeight="1" x14ac:dyDescent="0.25">
      <c r="A62" s="16" t="s">
        <v>275</v>
      </c>
      <c r="B62" s="21">
        <v>650</v>
      </c>
      <c r="C62" s="23">
        <v>4</v>
      </c>
      <c r="D62" s="23">
        <v>10</v>
      </c>
      <c r="E62" s="22">
        <v>1710059</v>
      </c>
      <c r="F62" s="21">
        <v>0</v>
      </c>
      <c r="G62" s="75">
        <f>G63</f>
        <v>0</v>
      </c>
      <c r="H62" s="25"/>
      <c r="I62" s="74">
        <f t="shared" si="7"/>
        <v>8.6999999999999993</v>
      </c>
      <c r="J62" s="77">
        <f>J63</f>
        <v>8.6999999999999993</v>
      </c>
      <c r="K62" s="77">
        <f>K63</f>
        <v>8.6839999999999993</v>
      </c>
      <c r="L62" s="233">
        <f t="shared" si="8"/>
        <v>99.816091954022994</v>
      </c>
      <c r="M62" s="235">
        <f t="shared" si="9"/>
        <v>1.6000000000000014E-2</v>
      </c>
    </row>
    <row r="63" spans="1:13" ht="23.25" customHeight="1" x14ac:dyDescent="0.25">
      <c r="A63" s="26" t="s">
        <v>166</v>
      </c>
      <c r="B63" s="21">
        <v>650</v>
      </c>
      <c r="C63" s="23">
        <v>4</v>
      </c>
      <c r="D63" s="23">
        <v>10</v>
      </c>
      <c r="E63" s="22">
        <v>1710059</v>
      </c>
      <c r="F63" s="21">
        <v>242</v>
      </c>
      <c r="G63" s="75">
        <v>0</v>
      </c>
      <c r="H63" s="25"/>
      <c r="I63" s="74">
        <f t="shared" si="7"/>
        <v>8.6999999999999993</v>
      </c>
      <c r="J63" s="77">
        <v>8.6999999999999993</v>
      </c>
      <c r="K63" s="77">
        <v>8.6839999999999993</v>
      </c>
      <c r="L63" s="233">
        <f t="shared" si="8"/>
        <v>99.816091954022994</v>
      </c>
      <c r="M63" s="235">
        <f t="shared" si="9"/>
        <v>1.6000000000000014E-2</v>
      </c>
    </row>
    <row r="64" spans="1:13" ht="39" customHeight="1" x14ac:dyDescent="0.25">
      <c r="A64" s="26" t="s">
        <v>164</v>
      </c>
      <c r="B64" s="21">
        <v>650</v>
      </c>
      <c r="C64" s="23">
        <v>4</v>
      </c>
      <c r="D64" s="23">
        <v>10</v>
      </c>
      <c r="E64" s="22" t="s">
        <v>165</v>
      </c>
      <c r="F64" s="21">
        <v>0</v>
      </c>
      <c r="G64" s="75">
        <v>815</v>
      </c>
      <c r="H64" s="25"/>
      <c r="I64" s="74">
        <f t="shared" si="7"/>
        <v>257.29999999999995</v>
      </c>
      <c r="J64" s="77">
        <f>J65+J66</f>
        <v>1072.3</v>
      </c>
      <c r="K64" s="77">
        <f>K65+K66</f>
        <v>964.29</v>
      </c>
      <c r="L64" s="233">
        <f t="shared" si="8"/>
        <v>89.927259162547784</v>
      </c>
      <c r="M64" s="235">
        <f t="shared" si="9"/>
        <v>108.00999999999999</v>
      </c>
    </row>
    <row r="65" spans="1:13" ht="38.25" customHeight="1" x14ac:dyDescent="0.25">
      <c r="A65" s="26" t="s">
        <v>166</v>
      </c>
      <c r="B65" s="21">
        <v>650</v>
      </c>
      <c r="C65" s="23">
        <v>4</v>
      </c>
      <c r="D65" s="23">
        <v>10</v>
      </c>
      <c r="E65" s="22" t="s">
        <v>165</v>
      </c>
      <c r="F65" s="21" t="s">
        <v>167</v>
      </c>
      <c r="G65" s="75">
        <v>415</v>
      </c>
      <c r="H65" s="25"/>
      <c r="I65" s="74">
        <f t="shared" si="7"/>
        <v>145.77999999999997</v>
      </c>
      <c r="J65" s="77">
        <v>560.78</v>
      </c>
      <c r="K65" s="77">
        <v>510.97</v>
      </c>
      <c r="L65" s="233">
        <f t="shared" si="8"/>
        <v>91.117728877634732</v>
      </c>
      <c r="M65" s="235">
        <f t="shared" si="9"/>
        <v>49.809999999999945</v>
      </c>
    </row>
    <row r="66" spans="1:13" ht="45" customHeight="1" x14ac:dyDescent="0.25">
      <c r="A66" s="26" t="s">
        <v>139</v>
      </c>
      <c r="B66" s="21">
        <v>650</v>
      </c>
      <c r="C66" s="23">
        <v>4</v>
      </c>
      <c r="D66" s="23">
        <v>10</v>
      </c>
      <c r="E66" s="22" t="s">
        <v>165</v>
      </c>
      <c r="F66" s="21" t="s">
        <v>140</v>
      </c>
      <c r="G66" s="75">
        <v>400</v>
      </c>
      <c r="H66" s="25"/>
      <c r="I66" s="74">
        <f t="shared" si="7"/>
        <v>111.51999999999998</v>
      </c>
      <c r="J66" s="77">
        <v>511.52</v>
      </c>
      <c r="K66" s="77">
        <v>453.32</v>
      </c>
      <c r="L66" s="233">
        <f t="shared" si="8"/>
        <v>88.622145761651552</v>
      </c>
      <c r="M66" s="235">
        <f t="shared" si="9"/>
        <v>58.199999999999989</v>
      </c>
    </row>
    <row r="67" spans="1:13" ht="45" customHeight="1" x14ac:dyDescent="0.25">
      <c r="A67" s="26" t="s">
        <v>224</v>
      </c>
      <c r="B67" s="21">
        <v>650</v>
      </c>
      <c r="C67" s="23">
        <v>4</v>
      </c>
      <c r="D67" s="23">
        <v>12</v>
      </c>
      <c r="E67" s="22">
        <v>0</v>
      </c>
      <c r="F67" s="21">
        <v>0</v>
      </c>
      <c r="G67" s="75">
        <v>46.3</v>
      </c>
      <c r="H67" s="25"/>
      <c r="I67" s="74">
        <f t="shared" ref="I67:K68" si="10">I68</f>
        <v>-16.729999999999997</v>
      </c>
      <c r="J67" s="77">
        <f t="shared" si="10"/>
        <v>29.57</v>
      </c>
      <c r="K67" s="77">
        <f t="shared" si="10"/>
        <v>29.57</v>
      </c>
      <c r="L67" s="233">
        <f t="shared" si="8"/>
        <v>100</v>
      </c>
      <c r="M67" s="235">
        <f t="shared" si="9"/>
        <v>0</v>
      </c>
    </row>
    <row r="68" spans="1:13" ht="45" customHeight="1" x14ac:dyDescent="0.25">
      <c r="A68" s="26" t="s">
        <v>264</v>
      </c>
      <c r="B68" s="21">
        <v>650</v>
      </c>
      <c r="C68" s="23">
        <v>4</v>
      </c>
      <c r="D68" s="23">
        <v>12</v>
      </c>
      <c r="E68" s="22">
        <v>1262120</v>
      </c>
      <c r="F68" s="21">
        <v>0</v>
      </c>
      <c r="G68" s="75">
        <v>46.3</v>
      </c>
      <c r="H68" s="25"/>
      <c r="I68" s="74">
        <f t="shared" si="10"/>
        <v>-16.729999999999997</v>
      </c>
      <c r="J68" s="77">
        <f t="shared" si="10"/>
        <v>29.57</v>
      </c>
      <c r="K68" s="77">
        <f t="shared" si="10"/>
        <v>29.57</v>
      </c>
      <c r="L68" s="233">
        <f t="shared" si="8"/>
        <v>100</v>
      </c>
      <c r="M68" s="235">
        <f t="shared" si="9"/>
        <v>0</v>
      </c>
    </row>
    <row r="69" spans="1:13" ht="45" customHeight="1" x14ac:dyDescent="0.25">
      <c r="A69" s="26" t="s">
        <v>139</v>
      </c>
      <c r="B69" s="21">
        <v>650</v>
      </c>
      <c r="C69" s="23">
        <v>4</v>
      </c>
      <c r="D69" s="23">
        <v>12</v>
      </c>
      <c r="E69" s="22">
        <v>1262120</v>
      </c>
      <c r="F69" s="21">
        <v>244</v>
      </c>
      <c r="G69" s="75">
        <v>46.3</v>
      </c>
      <c r="H69" s="25"/>
      <c r="I69" s="74">
        <f t="shared" ref="I69:I88" si="11">J69-G69</f>
        <v>-16.729999999999997</v>
      </c>
      <c r="J69" s="77">
        <v>29.57</v>
      </c>
      <c r="K69" s="77">
        <v>29.57</v>
      </c>
      <c r="L69" s="233">
        <f t="shared" si="8"/>
        <v>100</v>
      </c>
      <c r="M69" s="235">
        <f t="shared" si="9"/>
        <v>0</v>
      </c>
    </row>
    <row r="70" spans="1:13" ht="21" customHeight="1" x14ac:dyDescent="0.25">
      <c r="A70" s="63" t="s">
        <v>16</v>
      </c>
      <c r="B70" s="64">
        <v>650</v>
      </c>
      <c r="C70" s="65">
        <v>5</v>
      </c>
      <c r="D70" s="65">
        <v>0</v>
      </c>
      <c r="E70" s="66" t="s">
        <v>128</v>
      </c>
      <c r="F70" s="64" t="s">
        <v>26</v>
      </c>
      <c r="G70" s="67">
        <v>1797</v>
      </c>
      <c r="H70" s="41"/>
      <c r="I70" s="72">
        <f t="shared" si="11"/>
        <v>375.91000000000031</v>
      </c>
      <c r="J70" s="218">
        <f>J75+J85+J71</f>
        <v>2172.9100000000003</v>
      </c>
      <c r="K70" s="218">
        <f>K75+K85+K71</f>
        <v>1933.84</v>
      </c>
      <c r="L70" s="238">
        <f t="shared" si="8"/>
        <v>88.997703540413525</v>
      </c>
      <c r="M70" s="236">
        <f t="shared" si="9"/>
        <v>239.07000000000039</v>
      </c>
    </row>
    <row r="71" spans="1:13" ht="21" customHeight="1" x14ac:dyDescent="0.25">
      <c r="A71" s="26" t="s">
        <v>252</v>
      </c>
      <c r="B71" s="21">
        <v>650</v>
      </c>
      <c r="C71" s="23">
        <v>5</v>
      </c>
      <c r="D71" s="23">
        <v>1</v>
      </c>
      <c r="E71" s="22">
        <v>0</v>
      </c>
      <c r="F71" s="21">
        <v>0</v>
      </c>
      <c r="G71" s="24">
        <v>0</v>
      </c>
      <c r="H71" s="25"/>
      <c r="I71" s="86">
        <f t="shared" si="11"/>
        <v>344.83</v>
      </c>
      <c r="J71" s="217">
        <f>J72</f>
        <v>344.83</v>
      </c>
      <c r="K71" s="217">
        <f>K72</f>
        <v>344.83</v>
      </c>
      <c r="L71" s="233">
        <f t="shared" si="8"/>
        <v>100</v>
      </c>
      <c r="M71" s="235">
        <f t="shared" si="9"/>
        <v>0</v>
      </c>
    </row>
    <row r="72" spans="1:13" ht="65.25" customHeight="1" x14ac:dyDescent="0.25">
      <c r="A72" s="26" t="s">
        <v>260</v>
      </c>
      <c r="B72" s="21">
        <v>650</v>
      </c>
      <c r="C72" s="23">
        <v>5</v>
      </c>
      <c r="D72" s="23">
        <v>1</v>
      </c>
      <c r="E72" s="22">
        <v>1222108</v>
      </c>
      <c r="F72" s="21">
        <v>0</v>
      </c>
      <c r="G72" s="24">
        <f>G74+G73</f>
        <v>0</v>
      </c>
      <c r="H72" s="25"/>
      <c r="I72" s="86">
        <f t="shared" si="11"/>
        <v>344.83</v>
      </c>
      <c r="J72" s="217">
        <f>J74+J73</f>
        <v>344.83</v>
      </c>
      <c r="K72" s="217">
        <f>K74+K73</f>
        <v>344.83</v>
      </c>
      <c r="L72" s="233">
        <f t="shared" si="8"/>
        <v>100</v>
      </c>
      <c r="M72" s="235">
        <f t="shared" si="9"/>
        <v>0</v>
      </c>
    </row>
    <row r="73" spans="1:13" ht="30.75" customHeight="1" x14ac:dyDescent="0.25">
      <c r="A73" s="26" t="s">
        <v>139</v>
      </c>
      <c r="B73" s="21">
        <v>650</v>
      </c>
      <c r="C73" s="23">
        <v>5</v>
      </c>
      <c r="D73" s="23">
        <v>1</v>
      </c>
      <c r="E73" s="22">
        <v>1222108</v>
      </c>
      <c r="F73" s="21">
        <v>244</v>
      </c>
      <c r="G73" s="24">
        <v>0</v>
      </c>
      <c r="H73" s="25"/>
      <c r="I73" s="86">
        <f t="shared" si="11"/>
        <v>152.88</v>
      </c>
      <c r="J73" s="182">
        <v>152.88</v>
      </c>
      <c r="K73" s="182">
        <v>152.88</v>
      </c>
      <c r="L73" s="233">
        <f t="shared" si="8"/>
        <v>100</v>
      </c>
      <c r="M73" s="235">
        <f t="shared" si="9"/>
        <v>0</v>
      </c>
    </row>
    <row r="74" spans="1:13" ht="49.5" customHeight="1" x14ac:dyDescent="0.25">
      <c r="A74" s="26" t="s">
        <v>271</v>
      </c>
      <c r="B74" s="21">
        <v>650</v>
      </c>
      <c r="C74" s="23">
        <v>5</v>
      </c>
      <c r="D74" s="23">
        <v>1</v>
      </c>
      <c r="E74" s="22">
        <v>1222108</v>
      </c>
      <c r="F74" s="21">
        <v>630</v>
      </c>
      <c r="G74" s="24">
        <v>0</v>
      </c>
      <c r="H74" s="25"/>
      <c r="I74" s="86">
        <f t="shared" si="11"/>
        <v>191.95</v>
      </c>
      <c r="J74" s="182">
        <v>191.95</v>
      </c>
      <c r="K74" s="182">
        <v>191.95</v>
      </c>
      <c r="L74" s="233">
        <f t="shared" si="8"/>
        <v>100</v>
      </c>
      <c r="M74" s="235">
        <f t="shared" si="9"/>
        <v>0</v>
      </c>
    </row>
    <row r="75" spans="1:13" ht="28.5" customHeight="1" x14ac:dyDescent="0.25">
      <c r="A75" s="26" t="s">
        <v>43</v>
      </c>
      <c r="B75" s="21">
        <v>650</v>
      </c>
      <c r="C75" s="23">
        <v>5</v>
      </c>
      <c r="D75" s="23">
        <v>2</v>
      </c>
      <c r="E75" s="22" t="s">
        <v>128</v>
      </c>
      <c r="F75" s="21" t="s">
        <v>26</v>
      </c>
      <c r="G75" s="24">
        <f>G76+G78+G80+G83</f>
        <v>1282</v>
      </c>
      <c r="H75" s="25"/>
      <c r="I75" s="86">
        <f t="shared" si="11"/>
        <v>-81.849999999999909</v>
      </c>
      <c r="J75" s="182">
        <f>J76+J78+J80+J83</f>
        <v>1200.1500000000001</v>
      </c>
      <c r="K75" s="182">
        <f>K76+K78+K80+K83</f>
        <v>1130.75</v>
      </c>
      <c r="L75" s="233">
        <f t="shared" si="8"/>
        <v>94.217389492980047</v>
      </c>
      <c r="M75" s="235">
        <f t="shared" si="9"/>
        <v>69.400000000000091</v>
      </c>
    </row>
    <row r="76" spans="1:13" ht="28.5" customHeight="1" x14ac:dyDescent="0.25">
      <c r="A76" s="15" t="s">
        <v>260</v>
      </c>
      <c r="B76" s="21">
        <v>650</v>
      </c>
      <c r="C76" s="23">
        <v>5</v>
      </c>
      <c r="D76" s="23">
        <v>2</v>
      </c>
      <c r="E76" s="22">
        <v>1215641</v>
      </c>
      <c r="F76" s="21">
        <v>0</v>
      </c>
      <c r="G76" s="24">
        <f>G77</f>
        <v>935.6</v>
      </c>
      <c r="H76" s="25"/>
      <c r="I76" s="86">
        <f t="shared" si="11"/>
        <v>-4.8400000000000318</v>
      </c>
      <c r="J76" s="182">
        <f>J77</f>
        <v>930.76</v>
      </c>
      <c r="K76" s="182">
        <f>K77</f>
        <v>930.69</v>
      </c>
      <c r="L76" s="233">
        <f t="shared" si="8"/>
        <v>99.99247926425717</v>
      </c>
      <c r="M76" s="235">
        <f t="shared" si="9"/>
        <v>6.9999999999936335E-2</v>
      </c>
    </row>
    <row r="77" spans="1:13" ht="51" customHeight="1" x14ac:dyDescent="0.25">
      <c r="A77" s="26" t="s">
        <v>265</v>
      </c>
      <c r="B77" s="21">
        <v>650</v>
      </c>
      <c r="C77" s="23">
        <v>5</v>
      </c>
      <c r="D77" s="23">
        <v>2</v>
      </c>
      <c r="E77" s="22">
        <v>1215641</v>
      </c>
      <c r="F77" s="21">
        <v>243</v>
      </c>
      <c r="G77" s="24">
        <v>935.6</v>
      </c>
      <c r="H77" s="25"/>
      <c r="I77" s="86">
        <f t="shared" si="11"/>
        <v>-4.8400000000000318</v>
      </c>
      <c r="J77" s="182">
        <v>930.76</v>
      </c>
      <c r="K77" s="182">
        <v>930.69</v>
      </c>
      <c r="L77" s="233">
        <f t="shared" si="8"/>
        <v>99.99247926425717</v>
      </c>
      <c r="M77" s="235">
        <f t="shared" si="9"/>
        <v>6.9999999999936335E-2</v>
      </c>
    </row>
    <row r="78" spans="1:13" ht="28.5" customHeight="1" x14ac:dyDescent="0.25">
      <c r="A78" s="16" t="s">
        <v>244</v>
      </c>
      <c r="B78" s="21">
        <v>650</v>
      </c>
      <c r="C78" s="23">
        <v>5</v>
      </c>
      <c r="D78" s="23">
        <v>2</v>
      </c>
      <c r="E78" s="22">
        <v>1217060</v>
      </c>
      <c r="F78" s="21">
        <v>0</v>
      </c>
      <c r="G78" s="24">
        <f>G79</f>
        <v>71</v>
      </c>
      <c r="H78" s="25"/>
      <c r="I78" s="86">
        <f t="shared" si="11"/>
        <v>0</v>
      </c>
      <c r="J78" s="182">
        <f>J79</f>
        <v>71</v>
      </c>
      <c r="K78" s="182">
        <f>K79</f>
        <v>71</v>
      </c>
      <c r="L78" s="233">
        <f t="shared" si="8"/>
        <v>100</v>
      </c>
      <c r="M78" s="235">
        <f t="shared" si="9"/>
        <v>0</v>
      </c>
    </row>
    <row r="79" spans="1:13" ht="66" customHeight="1" x14ac:dyDescent="0.25">
      <c r="A79" s="26" t="s">
        <v>265</v>
      </c>
      <c r="B79" s="21">
        <v>650</v>
      </c>
      <c r="C79" s="23">
        <v>5</v>
      </c>
      <c r="D79" s="23">
        <v>2</v>
      </c>
      <c r="E79" s="22">
        <v>1217060</v>
      </c>
      <c r="F79" s="21">
        <v>243</v>
      </c>
      <c r="G79" s="24">
        <v>71</v>
      </c>
      <c r="H79" s="25"/>
      <c r="I79" s="86">
        <f t="shared" si="11"/>
        <v>0</v>
      </c>
      <c r="J79" s="182">
        <v>71</v>
      </c>
      <c r="K79" s="182">
        <v>71</v>
      </c>
      <c r="L79" s="233">
        <f t="shared" si="8"/>
        <v>100</v>
      </c>
      <c r="M79" s="235">
        <f t="shared" si="9"/>
        <v>0</v>
      </c>
    </row>
    <row r="80" spans="1:13" ht="78" customHeight="1" x14ac:dyDescent="0.25">
      <c r="A80" s="26" t="s">
        <v>168</v>
      </c>
      <c r="B80" s="21">
        <v>650</v>
      </c>
      <c r="C80" s="23">
        <v>5</v>
      </c>
      <c r="D80" s="23">
        <v>2</v>
      </c>
      <c r="E80" s="22" t="s">
        <v>169</v>
      </c>
      <c r="F80" s="21" t="s">
        <v>26</v>
      </c>
      <c r="G80" s="24">
        <f>G81+G82</f>
        <v>245.4</v>
      </c>
      <c r="H80" s="25"/>
      <c r="I80" s="74">
        <f t="shared" si="11"/>
        <v>-77.010000000000019</v>
      </c>
      <c r="J80" s="182">
        <f>J81+J82</f>
        <v>168.39</v>
      </c>
      <c r="K80" s="182">
        <f>K81+K82</f>
        <v>99.06</v>
      </c>
      <c r="L80" s="233">
        <f t="shared" si="8"/>
        <v>58.82772136112596</v>
      </c>
      <c r="M80" s="235">
        <f t="shared" si="9"/>
        <v>69.329999999999984</v>
      </c>
    </row>
    <row r="81" spans="1:13" ht="78" customHeight="1" x14ac:dyDescent="0.25">
      <c r="A81" s="26" t="s">
        <v>265</v>
      </c>
      <c r="B81" s="21">
        <v>650</v>
      </c>
      <c r="C81" s="23">
        <v>5</v>
      </c>
      <c r="D81" s="23">
        <v>2</v>
      </c>
      <c r="E81" s="22">
        <v>1272108</v>
      </c>
      <c r="F81" s="21">
        <v>243</v>
      </c>
      <c r="G81" s="24">
        <v>79</v>
      </c>
      <c r="H81" s="25"/>
      <c r="I81" s="74">
        <f t="shared" si="11"/>
        <v>6.0000000000002274E-2</v>
      </c>
      <c r="J81" s="182">
        <v>79.06</v>
      </c>
      <c r="K81" s="182">
        <v>79.06</v>
      </c>
      <c r="L81" s="233">
        <f t="shared" si="8"/>
        <v>100</v>
      </c>
      <c r="M81" s="235">
        <f t="shared" si="9"/>
        <v>0</v>
      </c>
    </row>
    <row r="82" spans="1:13" ht="43.5" customHeight="1" x14ac:dyDescent="0.25">
      <c r="A82" s="26" t="s">
        <v>139</v>
      </c>
      <c r="B82" s="21">
        <v>650</v>
      </c>
      <c r="C82" s="23">
        <v>5</v>
      </c>
      <c r="D82" s="23">
        <v>2</v>
      </c>
      <c r="E82" s="22" t="s">
        <v>169</v>
      </c>
      <c r="F82" s="21" t="s">
        <v>140</v>
      </c>
      <c r="G82" s="24">
        <v>166.4</v>
      </c>
      <c r="H82" s="25"/>
      <c r="I82" s="74">
        <f t="shared" si="11"/>
        <v>-77.070000000000007</v>
      </c>
      <c r="J82" s="182">
        <v>89.33</v>
      </c>
      <c r="K82" s="182">
        <v>20</v>
      </c>
      <c r="L82" s="233">
        <f t="shared" si="8"/>
        <v>22.388895108026418</v>
      </c>
      <c r="M82" s="235">
        <f t="shared" si="9"/>
        <v>69.33</v>
      </c>
    </row>
    <row r="83" spans="1:13" ht="43.5" customHeight="1" x14ac:dyDescent="0.25">
      <c r="A83" s="15" t="s">
        <v>260</v>
      </c>
      <c r="B83" s="21">
        <v>650</v>
      </c>
      <c r="C83" s="23">
        <v>5</v>
      </c>
      <c r="D83" s="23">
        <v>2</v>
      </c>
      <c r="E83" s="22">
        <v>1275641</v>
      </c>
      <c r="F83" s="21">
        <v>0</v>
      </c>
      <c r="G83" s="24">
        <f>G84</f>
        <v>30</v>
      </c>
      <c r="H83" s="25"/>
      <c r="I83" s="74">
        <f t="shared" si="11"/>
        <v>0</v>
      </c>
      <c r="J83" s="182">
        <f>J84</f>
        <v>30</v>
      </c>
      <c r="K83" s="182">
        <f>K84</f>
        <v>30</v>
      </c>
      <c r="L83" s="233">
        <f t="shared" si="8"/>
        <v>100</v>
      </c>
      <c r="M83" s="235">
        <f t="shared" si="9"/>
        <v>0</v>
      </c>
    </row>
    <row r="84" spans="1:13" ht="52.5" customHeight="1" x14ac:dyDescent="0.25">
      <c r="A84" s="26" t="s">
        <v>139</v>
      </c>
      <c r="B84" s="21">
        <v>650</v>
      </c>
      <c r="C84" s="23">
        <v>5</v>
      </c>
      <c r="D84" s="23">
        <v>2</v>
      </c>
      <c r="E84" s="22">
        <v>1275641</v>
      </c>
      <c r="F84" s="21">
        <v>244</v>
      </c>
      <c r="G84" s="24">
        <v>30</v>
      </c>
      <c r="H84" s="25"/>
      <c r="I84" s="74">
        <f t="shared" si="11"/>
        <v>0</v>
      </c>
      <c r="J84" s="182">
        <v>30</v>
      </c>
      <c r="K84" s="182">
        <v>30</v>
      </c>
      <c r="L84" s="233">
        <f t="shared" si="8"/>
        <v>100</v>
      </c>
      <c r="M84" s="235">
        <f t="shared" si="9"/>
        <v>0</v>
      </c>
    </row>
    <row r="85" spans="1:13" ht="33" customHeight="1" x14ac:dyDescent="0.25">
      <c r="A85" s="26" t="s">
        <v>17</v>
      </c>
      <c r="B85" s="21">
        <v>650</v>
      </c>
      <c r="C85" s="23">
        <v>5</v>
      </c>
      <c r="D85" s="23">
        <v>3</v>
      </c>
      <c r="E85" s="22" t="s">
        <v>128</v>
      </c>
      <c r="F85" s="21" t="s">
        <v>26</v>
      </c>
      <c r="G85" s="24" t="e">
        <f>#REF!+G86+G89</f>
        <v>#REF!</v>
      </c>
      <c r="H85" s="25"/>
      <c r="I85" s="74" t="e">
        <f t="shared" si="11"/>
        <v>#REF!</v>
      </c>
      <c r="J85" s="182">
        <f>J86+J89</f>
        <v>627.93000000000006</v>
      </c>
      <c r="K85" s="182">
        <f>K86+K89</f>
        <v>458.26</v>
      </c>
      <c r="L85" s="233">
        <f t="shared" si="8"/>
        <v>72.979472234166224</v>
      </c>
      <c r="M85" s="235">
        <f t="shared" si="9"/>
        <v>169.67000000000007</v>
      </c>
    </row>
    <row r="86" spans="1:13" ht="44.25" customHeight="1" x14ac:dyDescent="0.25">
      <c r="A86" s="26" t="s">
        <v>254</v>
      </c>
      <c r="B86" s="21">
        <v>650</v>
      </c>
      <c r="C86" s="23">
        <v>5</v>
      </c>
      <c r="D86" s="23">
        <v>3</v>
      </c>
      <c r="E86" s="22">
        <v>312105</v>
      </c>
      <c r="F86" s="21">
        <v>0</v>
      </c>
      <c r="G86" s="24">
        <f>G87+G88</f>
        <v>331</v>
      </c>
      <c r="H86" s="25"/>
      <c r="I86" s="74">
        <f t="shared" si="11"/>
        <v>-34.370000000000005</v>
      </c>
      <c r="J86" s="182">
        <f>J87+J88</f>
        <v>296.63</v>
      </c>
      <c r="K86" s="182">
        <f>K87+K88</f>
        <v>296.63</v>
      </c>
      <c r="L86" s="233">
        <f t="shared" si="8"/>
        <v>100</v>
      </c>
      <c r="M86" s="235">
        <f t="shared" si="9"/>
        <v>0</v>
      </c>
    </row>
    <row r="87" spans="1:13" ht="44.25" customHeight="1" x14ac:dyDescent="0.25">
      <c r="A87" s="26" t="s">
        <v>154</v>
      </c>
      <c r="B87" s="21">
        <v>650</v>
      </c>
      <c r="C87" s="23">
        <v>5</v>
      </c>
      <c r="D87" s="23">
        <v>3</v>
      </c>
      <c r="E87" s="22">
        <v>312105</v>
      </c>
      <c r="F87" s="21">
        <v>111</v>
      </c>
      <c r="G87" s="24">
        <v>317.10000000000002</v>
      </c>
      <c r="H87" s="25"/>
      <c r="I87" s="74">
        <f t="shared" si="11"/>
        <v>-34.370000000000005</v>
      </c>
      <c r="J87" s="182">
        <v>282.73</v>
      </c>
      <c r="K87" s="182">
        <v>282.73</v>
      </c>
      <c r="L87" s="233">
        <f t="shared" si="8"/>
        <v>100</v>
      </c>
      <c r="M87" s="235">
        <f t="shared" si="9"/>
        <v>0</v>
      </c>
    </row>
    <row r="88" spans="1:13" ht="44.25" customHeight="1" x14ac:dyDescent="0.25">
      <c r="A88" s="26" t="s">
        <v>139</v>
      </c>
      <c r="B88" s="21">
        <v>650</v>
      </c>
      <c r="C88" s="23">
        <v>5</v>
      </c>
      <c r="D88" s="23">
        <v>3</v>
      </c>
      <c r="E88" s="22">
        <v>312105</v>
      </c>
      <c r="F88" s="21">
        <v>244</v>
      </c>
      <c r="G88" s="24">
        <v>13.9</v>
      </c>
      <c r="H88" s="25"/>
      <c r="I88" s="74">
        <f t="shared" si="11"/>
        <v>0</v>
      </c>
      <c r="J88" s="182">
        <v>13.9</v>
      </c>
      <c r="K88" s="182">
        <v>13.9</v>
      </c>
      <c r="L88" s="233">
        <f t="shared" si="8"/>
        <v>100</v>
      </c>
      <c r="M88" s="235">
        <f t="shared" si="9"/>
        <v>0</v>
      </c>
    </row>
    <row r="89" spans="1:13" ht="44.25" customHeight="1" x14ac:dyDescent="0.25">
      <c r="A89" s="26" t="s">
        <v>262</v>
      </c>
      <c r="B89" s="21">
        <v>650</v>
      </c>
      <c r="C89" s="23">
        <v>5</v>
      </c>
      <c r="D89" s="23">
        <v>3</v>
      </c>
      <c r="E89" s="22">
        <v>3302108</v>
      </c>
      <c r="F89" s="21">
        <v>0</v>
      </c>
      <c r="G89" s="24">
        <f>G90</f>
        <v>184</v>
      </c>
      <c r="H89" s="25"/>
      <c r="I89" s="74">
        <f>I90</f>
        <v>147.30000000000001</v>
      </c>
      <c r="J89" s="182">
        <f>J90</f>
        <v>331.3</v>
      </c>
      <c r="K89" s="182">
        <f>K90</f>
        <v>161.63</v>
      </c>
      <c r="L89" s="233">
        <f t="shared" si="8"/>
        <v>48.786598249320853</v>
      </c>
      <c r="M89" s="235">
        <f t="shared" si="9"/>
        <v>169.67000000000002</v>
      </c>
    </row>
    <row r="90" spans="1:13" ht="51" customHeight="1" x14ac:dyDescent="0.25">
      <c r="A90" s="26" t="s">
        <v>139</v>
      </c>
      <c r="B90" s="21">
        <v>650</v>
      </c>
      <c r="C90" s="23">
        <v>5</v>
      </c>
      <c r="D90" s="23">
        <v>3</v>
      </c>
      <c r="E90" s="22">
        <v>3302108</v>
      </c>
      <c r="F90" s="21">
        <v>244</v>
      </c>
      <c r="G90" s="24">
        <v>184</v>
      </c>
      <c r="H90" s="25"/>
      <c r="I90" s="74">
        <f t="shared" ref="I90:I125" si="12">J90-G90</f>
        <v>147.30000000000001</v>
      </c>
      <c r="J90" s="182">
        <v>331.3</v>
      </c>
      <c r="K90" s="182">
        <v>161.63</v>
      </c>
      <c r="L90" s="233">
        <f t="shared" si="8"/>
        <v>48.786598249320853</v>
      </c>
      <c r="M90" s="235">
        <f t="shared" si="9"/>
        <v>169.67000000000002</v>
      </c>
    </row>
    <row r="91" spans="1:13" ht="24" customHeight="1" x14ac:dyDescent="0.25">
      <c r="A91" s="63" t="s">
        <v>170</v>
      </c>
      <c r="B91" s="64">
        <v>650</v>
      </c>
      <c r="C91" s="65">
        <v>8</v>
      </c>
      <c r="D91" s="65">
        <v>0</v>
      </c>
      <c r="E91" s="66" t="s">
        <v>128</v>
      </c>
      <c r="F91" s="64" t="s">
        <v>26</v>
      </c>
      <c r="G91" s="84" t="e">
        <f>G92</f>
        <v>#REF!</v>
      </c>
      <c r="H91" s="41"/>
      <c r="I91" s="72" t="e">
        <f t="shared" si="12"/>
        <v>#REF!</v>
      </c>
      <c r="J91" s="84">
        <f>J92</f>
        <v>2267.67</v>
      </c>
      <c r="K91" s="84">
        <f>K92</f>
        <v>2201.09</v>
      </c>
      <c r="L91" s="238">
        <f t="shared" si="8"/>
        <v>97.063946694183898</v>
      </c>
      <c r="M91" s="236">
        <f t="shared" si="9"/>
        <v>66.579999999999927</v>
      </c>
    </row>
    <row r="92" spans="1:13" ht="18.75" customHeight="1" x14ac:dyDescent="0.25">
      <c r="A92" s="26" t="s">
        <v>19</v>
      </c>
      <c r="B92" s="21">
        <v>650</v>
      </c>
      <c r="C92" s="23">
        <v>8</v>
      </c>
      <c r="D92" s="23">
        <v>1</v>
      </c>
      <c r="E92" s="22" t="s">
        <v>128</v>
      </c>
      <c r="F92" s="21" t="s">
        <v>26</v>
      </c>
      <c r="G92" s="77" t="e">
        <f>G93+G95+G97+G102+G105+G106+G107</f>
        <v>#REF!</v>
      </c>
      <c r="H92" s="25"/>
      <c r="I92" s="74" t="e">
        <f t="shared" si="12"/>
        <v>#REF!</v>
      </c>
      <c r="J92" s="77">
        <f>J93+J95+J97+J102+J105+J106+J107</f>
        <v>2267.67</v>
      </c>
      <c r="K92" s="77">
        <f>K93+K95+K97+K102+K105+K106+K107</f>
        <v>2201.09</v>
      </c>
      <c r="L92" s="233">
        <f t="shared" si="8"/>
        <v>97.063946694183898</v>
      </c>
      <c r="M92" s="235">
        <f t="shared" si="9"/>
        <v>66.579999999999927</v>
      </c>
    </row>
    <row r="93" spans="1:13" ht="68.25" customHeight="1" x14ac:dyDescent="0.25">
      <c r="A93" s="26" t="s">
        <v>171</v>
      </c>
      <c r="B93" s="21">
        <v>650</v>
      </c>
      <c r="C93" s="23">
        <v>8</v>
      </c>
      <c r="D93" s="23">
        <v>1</v>
      </c>
      <c r="E93" s="22" t="s">
        <v>37</v>
      </c>
      <c r="F93" s="21" t="s">
        <v>26</v>
      </c>
      <c r="G93" s="73" t="e">
        <f>G94+#REF!</f>
        <v>#REF!</v>
      </c>
      <c r="H93" s="25"/>
      <c r="I93" s="74" t="e">
        <f t="shared" si="12"/>
        <v>#REF!</v>
      </c>
      <c r="J93" s="77">
        <f>J94</f>
        <v>187.84</v>
      </c>
      <c r="K93" s="77">
        <f>K94</f>
        <v>187.84</v>
      </c>
      <c r="L93" s="233">
        <f t="shared" si="8"/>
        <v>100</v>
      </c>
      <c r="M93" s="235">
        <f t="shared" si="9"/>
        <v>0</v>
      </c>
    </row>
    <row r="94" spans="1:13" ht="45.75" customHeight="1" x14ac:dyDescent="0.25">
      <c r="A94" s="26" t="s">
        <v>166</v>
      </c>
      <c r="B94" s="21">
        <v>650</v>
      </c>
      <c r="C94" s="23">
        <v>8</v>
      </c>
      <c r="D94" s="23">
        <v>1</v>
      </c>
      <c r="E94" s="22" t="s">
        <v>37</v>
      </c>
      <c r="F94" s="21" t="s">
        <v>167</v>
      </c>
      <c r="G94" s="73">
        <v>107.9</v>
      </c>
      <c r="H94" s="25"/>
      <c r="I94" s="74">
        <f t="shared" si="12"/>
        <v>79.94</v>
      </c>
      <c r="J94" s="77">
        <v>187.84</v>
      </c>
      <c r="K94" s="77">
        <v>187.84</v>
      </c>
      <c r="L94" s="233">
        <f t="shared" si="8"/>
        <v>100</v>
      </c>
      <c r="M94" s="235">
        <f t="shared" si="9"/>
        <v>0</v>
      </c>
    </row>
    <row r="95" spans="1:13" ht="45.75" customHeight="1" x14ac:dyDescent="0.25">
      <c r="A95" s="26" t="s">
        <v>46</v>
      </c>
      <c r="B95" s="21">
        <v>650</v>
      </c>
      <c r="C95" s="23">
        <v>8</v>
      </c>
      <c r="D95" s="23">
        <v>1</v>
      </c>
      <c r="E95" s="22" t="s">
        <v>38</v>
      </c>
      <c r="F95" s="21" t="s">
        <v>26</v>
      </c>
      <c r="G95" s="73">
        <v>33.200000000000003</v>
      </c>
      <c r="H95" s="25"/>
      <c r="I95" s="74">
        <f t="shared" si="12"/>
        <v>0</v>
      </c>
      <c r="J95" s="77">
        <f>J96</f>
        <v>33.200000000000003</v>
      </c>
      <c r="K95" s="77">
        <f>K96</f>
        <v>33.159999999999997</v>
      </c>
      <c r="L95" s="233">
        <f t="shared" si="8"/>
        <v>99.879518072289144</v>
      </c>
      <c r="M95" s="235">
        <f t="shared" si="9"/>
        <v>4.0000000000006253E-2</v>
      </c>
    </row>
    <row r="96" spans="1:13" ht="30" customHeight="1" x14ac:dyDescent="0.25">
      <c r="A96" s="26" t="s">
        <v>166</v>
      </c>
      <c r="B96" s="21">
        <v>650</v>
      </c>
      <c r="C96" s="23">
        <v>8</v>
      </c>
      <c r="D96" s="23">
        <v>1</v>
      </c>
      <c r="E96" s="22" t="s">
        <v>38</v>
      </c>
      <c r="F96" s="21" t="s">
        <v>167</v>
      </c>
      <c r="G96" s="73">
        <v>19.100000000000001</v>
      </c>
      <c r="H96" s="25"/>
      <c r="I96" s="74">
        <f t="shared" si="12"/>
        <v>14.100000000000001</v>
      </c>
      <c r="J96" s="77">
        <v>33.200000000000003</v>
      </c>
      <c r="K96" s="77">
        <v>33.159999999999997</v>
      </c>
      <c r="L96" s="233">
        <f t="shared" si="8"/>
        <v>99.879518072289144</v>
      </c>
      <c r="M96" s="235">
        <f t="shared" si="9"/>
        <v>4.0000000000006253E-2</v>
      </c>
    </row>
    <row r="97" spans="1:13" ht="78.75" customHeight="1" x14ac:dyDescent="0.25">
      <c r="A97" s="26" t="s">
        <v>172</v>
      </c>
      <c r="B97" s="21">
        <v>650</v>
      </c>
      <c r="C97" s="23">
        <v>8</v>
      </c>
      <c r="D97" s="23">
        <v>1</v>
      </c>
      <c r="E97" s="22" t="s">
        <v>32</v>
      </c>
      <c r="F97" s="21" t="s">
        <v>26</v>
      </c>
      <c r="G97" s="77">
        <f>G98+G99+G100+G101</f>
        <v>1636.7</v>
      </c>
      <c r="H97" s="25"/>
      <c r="I97" s="74">
        <f t="shared" si="12"/>
        <v>-166.59999999999991</v>
      </c>
      <c r="J97" s="77">
        <f>J98+J99+J100+J101</f>
        <v>1470.1000000000001</v>
      </c>
      <c r="K97" s="77">
        <f>K98+K99+K100+K101</f>
        <v>1419.54</v>
      </c>
      <c r="L97" s="233">
        <f t="shared" si="8"/>
        <v>96.560778178355207</v>
      </c>
      <c r="M97" s="235">
        <f t="shared" si="9"/>
        <v>50.560000000000173</v>
      </c>
    </row>
    <row r="98" spans="1:13" ht="49.5" customHeight="1" x14ac:dyDescent="0.25">
      <c r="A98" s="26" t="s">
        <v>154</v>
      </c>
      <c r="B98" s="21">
        <v>650</v>
      </c>
      <c r="C98" s="23">
        <v>8</v>
      </c>
      <c r="D98" s="23">
        <v>1</v>
      </c>
      <c r="E98" s="22" t="s">
        <v>32</v>
      </c>
      <c r="F98" s="21" t="s">
        <v>155</v>
      </c>
      <c r="G98" s="77">
        <v>1198.5</v>
      </c>
      <c r="H98" s="25"/>
      <c r="I98" s="74">
        <f t="shared" si="12"/>
        <v>-139.54999999999995</v>
      </c>
      <c r="J98" s="77">
        <v>1058.95</v>
      </c>
      <c r="K98" s="77">
        <v>1039.6199999999999</v>
      </c>
      <c r="L98" s="233">
        <f t="shared" si="8"/>
        <v>98.174606921950982</v>
      </c>
      <c r="M98" s="235">
        <f t="shared" si="9"/>
        <v>19.330000000000155</v>
      </c>
    </row>
    <row r="99" spans="1:13" ht="43.5" customHeight="1" x14ac:dyDescent="0.25">
      <c r="A99" s="26" t="s">
        <v>156</v>
      </c>
      <c r="B99" s="21">
        <v>650</v>
      </c>
      <c r="C99" s="23">
        <v>8</v>
      </c>
      <c r="D99" s="23">
        <v>1</v>
      </c>
      <c r="E99" s="22" t="s">
        <v>32</v>
      </c>
      <c r="F99" s="21" t="s">
        <v>157</v>
      </c>
      <c r="G99" s="77">
        <v>50</v>
      </c>
      <c r="H99" s="25"/>
      <c r="I99" s="74">
        <f t="shared" si="12"/>
        <v>-32.340000000000003</v>
      </c>
      <c r="J99" s="77">
        <v>17.66</v>
      </c>
      <c r="K99" s="77">
        <v>17.66</v>
      </c>
      <c r="L99" s="233">
        <f t="shared" si="8"/>
        <v>100</v>
      </c>
      <c r="M99" s="235">
        <f t="shared" si="9"/>
        <v>0</v>
      </c>
    </row>
    <row r="100" spans="1:13" ht="45.75" customHeight="1" x14ac:dyDescent="0.25">
      <c r="A100" s="26" t="s">
        <v>166</v>
      </c>
      <c r="B100" s="21">
        <v>650</v>
      </c>
      <c r="C100" s="23">
        <v>8</v>
      </c>
      <c r="D100" s="23">
        <v>1</v>
      </c>
      <c r="E100" s="22" t="s">
        <v>32</v>
      </c>
      <c r="F100" s="21" t="s">
        <v>167</v>
      </c>
      <c r="G100" s="73">
        <v>163.80000000000001</v>
      </c>
      <c r="H100" s="25"/>
      <c r="I100" s="74">
        <f t="shared" si="12"/>
        <v>7.0999999999999943</v>
      </c>
      <c r="J100" s="77">
        <v>170.9</v>
      </c>
      <c r="K100" s="77">
        <v>162.41999999999999</v>
      </c>
      <c r="L100" s="233">
        <f t="shared" si="8"/>
        <v>95.038033937975413</v>
      </c>
      <c r="M100" s="235">
        <f t="shared" si="9"/>
        <v>8.4800000000000182</v>
      </c>
    </row>
    <row r="101" spans="1:13" ht="49.5" customHeight="1" x14ac:dyDescent="0.25">
      <c r="A101" s="26" t="s">
        <v>139</v>
      </c>
      <c r="B101" s="21">
        <v>650</v>
      </c>
      <c r="C101" s="23">
        <v>8</v>
      </c>
      <c r="D101" s="23">
        <v>1</v>
      </c>
      <c r="E101" s="22" t="s">
        <v>32</v>
      </c>
      <c r="F101" s="21" t="s">
        <v>140</v>
      </c>
      <c r="G101" s="75">
        <v>224.4</v>
      </c>
      <c r="H101" s="25"/>
      <c r="I101" s="74">
        <f t="shared" si="12"/>
        <v>-1.8100000000000023</v>
      </c>
      <c r="J101" s="77">
        <v>222.59</v>
      </c>
      <c r="K101" s="77">
        <v>199.84</v>
      </c>
      <c r="L101" s="233">
        <f t="shared" si="8"/>
        <v>89.779415068062349</v>
      </c>
      <c r="M101" s="235">
        <f t="shared" si="9"/>
        <v>22.75</v>
      </c>
    </row>
    <row r="102" spans="1:13" ht="49.5" customHeight="1" x14ac:dyDescent="0.25">
      <c r="A102" s="26" t="s">
        <v>173</v>
      </c>
      <c r="B102" s="21">
        <v>650</v>
      </c>
      <c r="C102" s="23">
        <v>8</v>
      </c>
      <c r="D102" s="23">
        <v>1</v>
      </c>
      <c r="E102" s="22" t="s">
        <v>33</v>
      </c>
      <c r="F102" s="21" t="s">
        <v>26</v>
      </c>
      <c r="G102" s="24">
        <f>G103</f>
        <v>11</v>
      </c>
      <c r="H102" s="25"/>
      <c r="I102" s="74">
        <f t="shared" si="12"/>
        <v>0</v>
      </c>
      <c r="J102" s="182">
        <f>J103</f>
        <v>11</v>
      </c>
      <c r="K102" s="182">
        <f>K103</f>
        <v>11</v>
      </c>
      <c r="L102" s="233">
        <f t="shared" si="8"/>
        <v>100</v>
      </c>
      <c r="M102" s="235">
        <f t="shared" si="9"/>
        <v>0</v>
      </c>
    </row>
    <row r="103" spans="1:13" ht="49.5" customHeight="1" x14ac:dyDescent="0.25">
      <c r="A103" s="26" t="s">
        <v>139</v>
      </c>
      <c r="B103" s="21">
        <v>650</v>
      </c>
      <c r="C103" s="23">
        <v>8</v>
      </c>
      <c r="D103" s="23">
        <v>1</v>
      </c>
      <c r="E103" s="22" t="s">
        <v>33</v>
      </c>
      <c r="F103" s="21" t="s">
        <v>140</v>
      </c>
      <c r="G103" s="24">
        <v>11</v>
      </c>
      <c r="H103" s="25"/>
      <c r="I103" s="74">
        <f t="shared" si="12"/>
        <v>0</v>
      </c>
      <c r="J103" s="182">
        <v>11</v>
      </c>
      <c r="K103" s="182">
        <v>11</v>
      </c>
      <c r="L103" s="233">
        <f t="shared" si="8"/>
        <v>100</v>
      </c>
      <c r="M103" s="235">
        <f t="shared" si="9"/>
        <v>0</v>
      </c>
    </row>
    <row r="104" spans="1:13" ht="79.5" customHeight="1" x14ac:dyDescent="0.25">
      <c r="A104" s="78" t="s">
        <v>172</v>
      </c>
      <c r="B104" s="79">
        <v>650</v>
      </c>
      <c r="C104" s="80">
        <v>8</v>
      </c>
      <c r="D104" s="80">
        <v>1</v>
      </c>
      <c r="E104" s="81" t="s">
        <v>35</v>
      </c>
      <c r="F104" s="79" t="s">
        <v>26</v>
      </c>
      <c r="G104" s="82">
        <f>G105+G106</f>
        <v>483.9</v>
      </c>
      <c r="H104" s="83"/>
      <c r="I104" s="74">
        <f t="shared" si="12"/>
        <v>-248.76999999999998</v>
      </c>
      <c r="J104" s="182">
        <f>J105+J106</f>
        <v>235.13</v>
      </c>
      <c r="K104" s="182">
        <f>K105+K106</f>
        <v>232.76999999999998</v>
      </c>
      <c r="L104" s="233">
        <f t="shared" si="8"/>
        <v>98.996299919193632</v>
      </c>
      <c r="M104" s="235">
        <f t="shared" si="9"/>
        <v>2.3600000000000136</v>
      </c>
    </row>
    <row r="105" spans="1:13" ht="49.5" customHeight="1" x14ac:dyDescent="0.25">
      <c r="A105" s="26" t="s">
        <v>154</v>
      </c>
      <c r="B105" s="21">
        <v>650</v>
      </c>
      <c r="C105" s="23">
        <v>8</v>
      </c>
      <c r="D105" s="23">
        <v>1</v>
      </c>
      <c r="E105" s="22" t="s">
        <v>35</v>
      </c>
      <c r="F105" s="21" t="s">
        <v>155</v>
      </c>
      <c r="G105" s="24">
        <v>482.9</v>
      </c>
      <c r="H105" s="25"/>
      <c r="I105" s="74">
        <f t="shared" si="12"/>
        <v>-273.77</v>
      </c>
      <c r="J105" s="182">
        <v>209.13</v>
      </c>
      <c r="K105" s="182">
        <v>209.13</v>
      </c>
      <c r="L105" s="233">
        <f t="shared" si="8"/>
        <v>100</v>
      </c>
      <c r="M105" s="235">
        <f t="shared" si="9"/>
        <v>0</v>
      </c>
    </row>
    <row r="106" spans="1:13" ht="49.5" customHeight="1" x14ac:dyDescent="0.25">
      <c r="A106" s="26" t="s">
        <v>139</v>
      </c>
      <c r="B106" s="21">
        <v>650</v>
      </c>
      <c r="C106" s="23">
        <v>8</v>
      </c>
      <c r="D106" s="23">
        <v>1</v>
      </c>
      <c r="E106" s="22">
        <v>590059</v>
      </c>
      <c r="F106" s="21">
        <v>244</v>
      </c>
      <c r="G106" s="24">
        <v>1</v>
      </c>
      <c r="H106" s="25"/>
      <c r="I106" s="74">
        <f t="shared" si="12"/>
        <v>25</v>
      </c>
      <c r="J106" s="182">
        <v>26</v>
      </c>
      <c r="K106" s="182">
        <v>23.64</v>
      </c>
      <c r="L106" s="233">
        <f t="shared" si="8"/>
        <v>90.923076923076934</v>
      </c>
      <c r="M106" s="235">
        <f t="shared" si="9"/>
        <v>2.3599999999999994</v>
      </c>
    </row>
    <row r="107" spans="1:13" ht="48.75" customHeight="1" x14ac:dyDescent="0.25">
      <c r="A107" s="78" t="s">
        <v>173</v>
      </c>
      <c r="B107" s="79">
        <v>650</v>
      </c>
      <c r="C107" s="80">
        <v>8</v>
      </c>
      <c r="D107" s="80">
        <v>1</v>
      </c>
      <c r="E107" s="81" t="s">
        <v>36</v>
      </c>
      <c r="F107" s="79" t="s">
        <v>26</v>
      </c>
      <c r="G107" s="82">
        <f>G108</f>
        <v>144</v>
      </c>
      <c r="H107" s="83"/>
      <c r="I107" s="74">
        <f t="shared" si="12"/>
        <v>186.39999999999998</v>
      </c>
      <c r="J107" s="182">
        <f>J108</f>
        <v>330.4</v>
      </c>
      <c r="K107" s="182">
        <f>K108</f>
        <v>316.77999999999997</v>
      </c>
      <c r="L107" s="233">
        <f t="shared" si="8"/>
        <v>95.877723970944302</v>
      </c>
      <c r="M107" s="235">
        <f t="shared" si="9"/>
        <v>13.620000000000005</v>
      </c>
    </row>
    <row r="108" spans="1:13" ht="38.25" customHeight="1" x14ac:dyDescent="0.25">
      <c r="A108" s="26" t="s">
        <v>139</v>
      </c>
      <c r="B108" s="21">
        <v>650</v>
      </c>
      <c r="C108" s="23">
        <v>8</v>
      </c>
      <c r="D108" s="23">
        <v>1</v>
      </c>
      <c r="E108" s="22" t="s">
        <v>36</v>
      </c>
      <c r="F108" s="21" t="s">
        <v>140</v>
      </c>
      <c r="G108" s="24">
        <v>144</v>
      </c>
      <c r="H108" s="25"/>
      <c r="I108" s="74">
        <f t="shared" si="12"/>
        <v>186.39999999999998</v>
      </c>
      <c r="J108" s="182">
        <v>330.4</v>
      </c>
      <c r="K108" s="182">
        <v>316.77999999999997</v>
      </c>
      <c r="L108" s="233">
        <f t="shared" si="8"/>
        <v>95.877723970944302</v>
      </c>
      <c r="M108" s="235">
        <f t="shared" si="9"/>
        <v>13.620000000000005</v>
      </c>
    </row>
    <row r="109" spans="1:13" ht="23.25" customHeight="1" x14ac:dyDescent="0.25">
      <c r="A109" s="63" t="s">
        <v>174</v>
      </c>
      <c r="B109" s="64">
        <v>650</v>
      </c>
      <c r="C109" s="65">
        <v>11</v>
      </c>
      <c r="D109" s="65">
        <v>0</v>
      </c>
      <c r="E109" s="66" t="s">
        <v>128</v>
      </c>
      <c r="F109" s="64" t="s">
        <v>26</v>
      </c>
      <c r="G109" s="67">
        <f>G110</f>
        <v>3842.1</v>
      </c>
      <c r="H109" s="41"/>
      <c r="I109" s="72">
        <f t="shared" si="12"/>
        <v>490.63200000000006</v>
      </c>
      <c r="J109" s="183">
        <f>J110</f>
        <v>4332.732</v>
      </c>
      <c r="K109" s="183">
        <f>K110</f>
        <v>4270.8600000000006</v>
      </c>
      <c r="L109" s="238">
        <f t="shared" si="8"/>
        <v>98.571986451042918</v>
      </c>
      <c r="M109" s="236">
        <f t="shared" si="9"/>
        <v>61.871999999999389</v>
      </c>
    </row>
    <row r="110" spans="1:13" ht="22.5" customHeight="1" x14ac:dyDescent="0.25">
      <c r="A110" s="26" t="s">
        <v>21</v>
      </c>
      <c r="B110" s="21">
        <v>650</v>
      </c>
      <c r="C110" s="23">
        <v>11</v>
      </c>
      <c r="D110" s="23">
        <v>1</v>
      </c>
      <c r="E110" s="22" t="s">
        <v>128</v>
      </c>
      <c r="F110" s="21" t="s">
        <v>26</v>
      </c>
      <c r="G110" s="24">
        <f>G111+G118</f>
        <v>3842.1</v>
      </c>
      <c r="H110" s="25"/>
      <c r="I110" s="74">
        <f t="shared" si="12"/>
        <v>490.63200000000006</v>
      </c>
      <c r="J110" s="182">
        <f>J111+J118</f>
        <v>4332.732</v>
      </c>
      <c r="K110" s="182">
        <f>K111+K118</f>
        <v>4270.8600000000006</v>
      </c>
      <c r="L110" s="233">
        <f t="shared" si="8"/>
        <v>98.571986451042918</v>
      </c>
      <c r="M110" s="235">
        <f t="shared" si="9"/>
        <v>61.871999999999389</v>
      </c>
    </row>
    <row r="111" spans="1:13" ht="78" customHeight="1" x14ac:dyDescent="0.25">
      <c r="A111" s="26" t="s">
        <v>172</v>
      </c>
      <c r="B111" s="21">
        <v>650</v>
      </c>
      <c r="C111" s="23">
        <v>11</v>
      </c>
      <c r="D111" s="23">
        <v>1</v>
      </c>
      <c r="E111" s="22" t="s">
        <v>115</v>
      </c>
      <c r="F111" s="21" t="s">
        <v>26</v>
      </c>
      <c r="G111" s="24">
        <f>G112+G113+G114+G115+G116+G117</f>
        <v>3702.1</v>
      </c>
      <c r="H111" s="25"/>
      <c r="I111" s="74">
        <f t="shared" si="12"/>
        <v>294.63200000000052</v>
      </c>
      <c r="J111" s="182">
        <f>J112+J113+J114+J115+J116+J117</f>
        <v>3996.7320000000004</v>
      </c>
      <c r="K111" s="182">
        <f>K112+K113+K114+K115+K116+K117</f>
        <v>3935.0200000000004</v>
      </c>
      <c r="L111" s="233">
        <f t="shared" si="8"/>
        <v>98.455938501755938</v>
      </c>
      <c r="M111" s="235">
        <f t="shared" si="9"/>
        <v>61.711999999999989</v>
      </c>
    </row>
    <row r="112" spans="1:13" ht="30.75" customHeight="1" x14ac:dyDescent="0.25">
      <c r="A112" s="26" t="s">
        <v>154</v>
      </c>
      <c r="B112" s="21">
        <v>650</v>
      </c>
      <c r="C112" s="23">
        <v>11</v>
      </c>
      <c r="D112" s="23">
        <v>1</v>
      </c>
      <c r="E112" s="22" t="s">
        <v>115</v>
      </c>
      <c r="F112" s="21" t="s">
        <v>155</v>
      </c>
      <c r="G112" s="24">
        <v>3322.2</v>
      </c>
      <c r="H112" s="25"/>
      <c r="I112" s="74">
        <f t="shared" si="12"/>
        <v>211.0600000000004</v>
      </c>
      <c r="J112" s="182">
        <v>3533.26</v>
      </c>
      <c r="K112" s="182">
        <v>3533.26</v>
      </c>
      <c r="L112" s="233">
        <f t="shared" si="8"/>
        <v>100</v>
      </c>
      <c r="M112" s="235">
        <f t="shared" si="9"/>
        <v>0</v>
      </c>
    </row>
    <row r="113" spans="1:13" ht="44.25" customHeight="1" x14ac:dyDescent="0.25">
      <c r="A113" s="26" t="s">
        <v>156</v>
      </c>
      <c r="B113" s="21">
        <v>650</v>
      </c>
      <c r="C113" s="23">
        <v>11</v>
      </c>
      <c r="D113" s="23">
        <v>1</v>
      </c>
      <c r="E113" s="22" t="s">
        <v>115</v>
      </c>
      <c r="F113" s="21" t="s">
        <v>157</v>
      </c>
      <c r="G113" s="24">
        <v>198.7</v>
      </c>
      <c r="H113" s="25"/>
      <c r="I113" s="74">
        <f t="shared" si="12"/>
        <v>23.990000000000009</v>
      </c>
      <c r="J113" s="182">
        <v>222.69</v>
      </c>
      <c r="K113" s="182">
        <v>196.11</v>
      </c>
      <c r="L113" s="233">
        <f t="shared" si="8"/>
        <v>88.064125016839554</v>
      </c>
      <c r="M113" s="235">
        <f t="shared" si="9"/>
        <v>26.579999999999984</v>
      </c>
    </row>
    <row r="114" spans="1:13" ht="31.5" customHeight="1" x14ac:dyDescent="0.25">
      <c r="A114" s="26" t="s">
        <v>137</v>
      </c>
      <c r="B114" s="21">
        <v>650</v>
      </c>
      <c r="C114" s="23">
        <v>11</v>
      </c>
      <c r="D114" s="23">
        <v>1</v>
      </c>
      <c r="E114" s="22" t="s">
        <v>115</v>
      </c>
      <c r="F114" s="21" t="s">
        <v>138</v>
      </c>
      <c r="G114" s="24">
        <v>4.3</v>
      </c>
      <c r="H114" s="25"/>
      <c r="I114" s="74">
        <f t="shared" si="12"/>
        <v>-4.2880000000000003</v>
      </c>
      <c r="J114" s="182">
        <f>12/1000</f>
        <v>1.2E-2</v>
      </c>
      <c r="K114" s="182">
        <v>0.01</v>
      </c>
      <c r="L114" s="233">
        <f t="shared" si="8"/>
        <v>83.333333333333343</v>
      </c>
      <c r="M114" s="235">
        <f t="shared" si="9"/>
        <v>2E-3</v>
      </c>
    </row>
    <row r="115" spans="1:13" ht="44.25" customHeight="1" x14ac:dyDescent="0.25">
      <c r="A115" s="26" t="s">
        <v>166</v>
      </c>
      <c r="B115" s="21">
        <v>650</v>
      </c>
      <c r="C115" s="23">
        <v>11</v>
      </c>
      <c r="D115" s="23">
        <v>1</v>
      </c>
      <c r="E115" s="22" t="s">
        <v>115</v>
      </c>
      <c r="F115" s="21" t="s">
        <v>167</v>
      </c>
      <c r="G115" s="75">
        <v>63</v>
      </c>
      <c r="H115" s="25"/>
      <c r="I115" s="74">
        <f t="shared" si="12"/>
        <v>16.329999999999998</v>
      </c>
      <c r="J115" s="77">
        <v>79.33</v>
      </c>
      <c r="K115" s="77">
        <v>67.61</v>
      </c>
      <c r="L115" s="233">
        <f t="shared" ref="L115:L126" si="13">K115/J115*100</f>
        <v>85.226270011345022</v>
      </c>
      <c r="M115" s="235">
        <f t="shared" ref="M115:M125" si="14">J115-K115</f>
        <v>11.719999999999999</v>
      </c>
    </row>
    <row r="116" spans="1:13" ht="47.25" customHeight="1" x14ac:dyDescent="0.25">
      <c r="A116" s="26" t="s">
        <v>139</v>
      </c>
      <c r="B116" s="21">
        <v>650</v>
      </c>
      <c r="C116" s="23">
        <v>11</v>
      </c>
      <c r="D116" s="23">
        <v>1</v>
      </c>
      <c r="E116" s="22" t="s">
        <v>115</v>
      </c>
      <c r="F116" s="21" t="s">
        <v>140</v>
      </c>
      <c r="G116" s="73">
        <v>111.9</v>
      </c>
      <c r="H116" s="25"/>
      <c r="I116" s="74">
        <f t="shared" si="12"/>
        <v>40.539999999999992</v>
      </c>
      <c r="J116" s="77">
        <v>152.44</v>
      </c>
      <c r="K116" s="77">
        <v>134.08000000000001</v>
      </c>
      <c r="L116" s="233">
        <f t="shared" si="13"/>
        <v>87.955917082130682</v>
      </c>
      <c r="M116" s="235">
        <f t="shared" si="14"/>
        <v>18.359999999999985</v>
      </c>
    </row>
    <row r="117" spans="1:13" ht="30" customHeight="1" x14ac:dyDescent="0.25">
      <c r="A117" s="26" t="s">
        <v>141</v>
      </c>
      <c r="B117" s="21">
        <v>650</v>
      </c>
      <c r="C117" s="23">
        <v>11</v>
      </c>
      <c r="D117" s="23">
        <v>1</v>
      </c>
      <c r="E117" s="22" t="s">
        <v>115</v>
      </c>
      <c r="F117" s="21" t="s">
        <v>142</v>
      </c>
      <c r="G117" s="24">
        <v>2</v>
      </c>
      <c r="H117" s="25"/>
      <c r="I117" s="74">
        <f t="shared" si="12"/>
        <v>7</v>
      </c>
      <c r="J117" s="182">
        <v>9</v>
      </c>
      <c r="K117" s="182">
        <v>3.95</v>
      </c>
      <c r="L117" s="233">
        <f t="shared" si="13"/>
        <v>43.888888888888886</v>
      </c>
      <c r="M117" s="235">
        <f t="shared" si="14"/>
        <v>5.05</v>
      </c>
    </row>
    <row r="118" spans="1:13" ht="60" customHeight="1" x14ac:dyDescent="0.25">
      <c r="A118" s="26" t="s">
        <v>175</v>
      </c>
      <c r="B118" s="21">
        <v>650</v>
      </c>
      <c r="C118" s="23">
        <v>11</v>
      </c>
      <c r="D118" s="23">
        <v>1</v>
      </c>
      <c r="E118" s="22" t="s">
        <v>116</v>
      </c>
      <c r="F118" s="21" t="s">
        <v>26</v>
      </c>
      <c r="G118" s="24">
        <f>G119</f>
        <v>140</v>
      </c>
      <c r="H118" s="25"/>
      <c r="I118" s="74">
        <f t="shared" si="12"/>
        <v>196</v>
      </c>
      <c r="J118" s="182">
        <f>J119</f>
        <v>336</v>
      </c>
      <c r="K118" s="182">
        <f>K119</f>
        <v>335.84</v>
      </c>
      <c r="L118" s="233">
        <f t="shared" si="13"/>
        <v>99.952380952380949</v>
      </c>
      <c r="M118" s="235">
        <f t="shared" si="14"/>
        <v>0.16000000000002501</v>
      </c>
    </row>
    <row r="119" spans="1:13" ht="31.5" customHeight="1" x14ac:dyDescent="0.25">
      <c r="A119" s="26" t="s">
        <v>139</v>
      </c>
      <c r="B119" s="21">
        <v>650</v>
      </c>
      <c r="C119" s="23">
        <v>11</v>
      </c>
      <c r="D119" s="23">
        <v>1</v>
      </c>
      <c r="E119" s="22" t="s">
        <v>116</v>
      </c>
      <c r="F119" s="21" t="s">
        <v>140</v>
      </c>
      <c r="G119" s="24">
        <v>140</v>
      </c>
      <c r="H119" s="25"/>
      <c r="I119" s="74">
        <f t="shared" si="12"/>
        <v>196</v>
      </c>
      <c r="J119" s="182">
        <v>336</v>
      </c>
      <c r="K119" s="182">
        <v>335.84</v>
      </c>
      <c r="L119" s="233">
        <f t="shared" si="13"/>
        <v>99.952380952380949</v>
      </c>
      <c r="M119" s="235">
        <f t="shared" si="14"/>
        <v>0.16000000000002501</v>
      </c>
    </row>
    <row r="120" spans="1:13" ht="61.5" customHeight="1" x14ac:dyDescent="0.25">
      <c r="A120" s="63" t="s">
        <v>176</v>
      </c>
      <c r="B120" s="64">
        <v>650</v>
      </c>
      <c r="C120" s="65">
        <v>14</v>
      </c>
      <c r="D120" s="65">
        <v>0</v>
      </c>
      <c r="E120" s="66" t="s">
        <v>128</v>
      </c>
      <c r="F120" s="64" t="s">
        <v>26</v>
      </c>
      <c r="G120" s="67">
        <v>39.700000000000003</v>
      </c>
      <c r="H120" s="41"/>
      <c r="I120" s="72">
        <f t="shared" si="12"/>
        <v>1.9999999999996021E-2</v>
      </c>
      <c r="J120" s="183">
        <f>J121</f>
        <v>39.72</v>
      </c>
      <c r="K120" s="183">
        <f>K121</f>
        <v>39.72</v>
      </c>
      <c r="L120" s="238">
        <f t="shared" si="13"/>
        <v>100</v>
      </c>
      <c r="M120" s="236">
        <f t="shared" si="14"/>
        <v>0</v>
      </c>
    </row>
    <row r="121" spans="1:13" ht="28.5" customHeight="1" x14ac:dyDescent="0.25">
      <c r="A121" s="26" t="s">
        <v>23</v>
      </c>
      <c r="B121" s="21">
        <v>650</v>
      </c>
      <c r="C121" s="23">
        <v>14</v>
      </c>
      <c r="D121" s="23">
        <v>3</v>
      </c>
      <c r="E121" s="22" t="s">
        <v>128</v>
      </c>
      <c r="F121" s="21" t="s">
        <v>26</v>
      </c>
      <c r="G121" s="24">
        <v>39.716000000000001</v>
      </c>
      <c r="H121" s="25"/>
      <c r="I121" s="74">
        <f t="shared" si="12"/>
        <v>3.9999999999977831E-3</v>
      </c>
      <c r="J121" s="182">
        <f>J122+J124</f>
        <v>39.72</v>
      </c>
      <c r="K121" s="182">
        <f>K122+K124</f>
        <v>39.72</v>
      </c>
      <c r="L121" s="233">
        <f t="shared" si="13"/>
        <v>100</v>
      </c>
      <c r="M121" s="235">
        <f t="shared" si="14"/>
        <v>0</v>
      </c>
    </row>
    <row r="122" spans="1:13" ht="29.25" customHeight="1" x14ac:dyDescent="0.25">
      <c r="A122" s="26" t="s">
        <v>177</v>
      </c>
      <c r="B122" s="21">
        <v>650</v>
      </c>
      <c r="C122" s="23">
        <v>14</v>
      </c>
      <c r="D122" s="23">
        <v>3</v>
      </c>
      <c r="E122" s="22" t="s">
        <v>178</v>
      </c>
      <c r="F122" s="21" t="s">
        <v>26</v>
      </c>
      <c r="G122" s="24">
        <v>29.216000000000001</v>
      </c>
      <c r="H122" s="25"/>
      <c r="I122" s="74">
        <f t="shared" si="12"/>
        <v>3.9999999999977831E-3</v>
      </c>
      <c r="J122" s="182">
        <f>J123</f>
        <v>29.22</v>
      </c>
      <c r="K122" s="182">
        <f>K123</f>
        <v>29.22</v>
      </c>
      <c r="L122" s="233">
        <f t="shared" si="13"/>
        <v>100</v>
      </c>
      <c r="M122" s="235">
        <f t="shared" si="14"/>
        <v>0</v>
      </c>
    </row>
    <row r="123" spans="1:13" ht="18" customHeight="1" x14ac:dyDescent="0.25">
      <c r="A123" s="26" t="s">
        <v>179</v>
      </c>
      <c r="B123" s="21">
        <v>650</v>
      </c>
      <c r="C123" s="23">
        <v>14</v>
      </c>
      <c r="D123" s="23">
        <v>3</v>
      </c>
      <c r="E123" s="22" t="s">
        <v>178</v>
      </c>
      <c r="F123" s="21" t="s">
        <v>180</v>
      </c>
      <c r="G123" s="24">
        <v>29.2</v>
      </c>
      <c r="H123" s="25"/>
      <c r="I123" s="74">
        <f t="shared" si="12"/>
        <v>1.9999999999999574E-2</v>
      </c>
      <c r="J123" s="182">
        <v>29.22</v>
      </c>
      <c r="K123" s="182">
        <v>29.22</v>
      </c>
      <c r="L123" s="233">
        <f t="shared" si="13"/>
        <v>100</v>
      </c>
      <c r="M123" s="235">
        <f t="shared" si="14"/>
        <v>0</v>
      </c>
    </row>
    <row r="124" spans="1:13" ht="28.5" customHeight="1" x14ac:dyDescent="0.25">
      <c r="A124" s="26" t="s">
        <v>177</v>
      </c>
      <c r="B124" s="21">
        <v>650</v>
      </c>
      <c r="C124" s="23">
        <v>14</v>
      </c>
      <c r="D124" s="23">
        <v>3</v>
      </c>
      <c r="E124" s="22" t="s">
        <v>181</v>
      </c>
      <c r="F124" s="21" t="s">
        <v>26</v>
      </c>
      <c r="G124" s="24">
        <v>10.5</v>
      </c>
      <c r="H124" s="25"/>
      <c r="I124" s="74">
        <f t="shared" si="12"/>
        <v>0</v>
      </c>
      <c r="J124" s="182">
        <f>J125</f>
        <v>10.5</v>
      </c>
      <c r="K124" s="182">
        <f>K125</f>
        <v>10.5</v>
      </c>
      <c r="L124" s="233">
        <f t="shared" si="13"/>
        <v>100</v>
      </c>
      <c r="M124" s="235">
        <f t="shared" si="14"/>
        <v>0</v>
      </c>
    </row>
    <row r="125" spans="1:13" ht="16.5" customHeight="1" x14ac:dyDescent="0.25">
      <c r="A125" s="26" t="s">
        <v>179</v>
      </c>
      <c r="B125" s="21">
        <v>650</v>
      </c>
      <c r="C125" s="23">
        <v>14</v>
      </c>
      <c r="D125" s="23">
        <v>3</v>
      </c>
      <c r="E125" s="22" t="s">
        <v>181</v>
      </c>
      <c r="F125" s="21" t="s">
        <v>180</v>
      </c>
      <c r="G125" s="24">
        <v>10.5</v>
      </c>
      <c r="H125" s="25"/>
      <c r="I125" s="74">
        <f t="shared" si="12"/>
        <v>0</v>
      </c>
      <c r="J125" s="182">
        <v>10.5</v>
      </c>
      <c r="K125" s="182">
        <v>10.5</v>
      </c>
      <c r="L125" s="233">
        <f t="shared" si="13"/>
        <v>100</v>
      </c>
      <c r="M125" s="235">
        <f t="shared" si="14"/>
        <v>0</v>
      </c>
    </row>
    <row r="126" spans="1:13" s="20" customFormat="1" x14ac:dyDescent="0.25">
      <c r="A126" s="70"/>
      <c r="B126" s="70"/>
      <c r="C126" s="70"/>
      <c r="D126" s="70"/>
      <c r="E126" s="70"/>
      <c r="F126" s="70"/>
      <c r="G126" s="87" t="e">
        <f>G120+G109+G91+G70+G57+G46+G42+G6</f>
        <v>#REF!</v>
      </c>
      <c r="H126" s="71">
        <f>164+40</f>
        <v>204</v>
      </c>
      <c r="I126" s="87" t="e">
        <f>I120+I109+I91+I70+I57+I46+I42+I6</f>
        <v>#REF!</v>
      </c>
      <c r="J126" s="177">
        <f>J120+J109+J91+J70+J57+J46+J42+J6</f>
        <v>24904.312000000002</v>
      </c>
      <c r="K126" s="177">
        <f>K120+K109+K91+K70+K57+K46+K42+K6</f>
        <v>23650.324000000001</v>
      </c>
      <c r="L126" s="239">
        <f t="shared" si="13"/>
        <v>94.964775577819609</v>
      </c>
      <c r="M126" s="209">
        <f>M120+M109+M91+M70+M57+M46+M42+M6</f>
        <v>1253.9880000000014</v>
      </c>
    </row>
    <row r="128" spans="1:13" x14ac:dyDescent="0.25">
      <c r="J128" s="219"/>
    </row>
    <row r="131" spans="10:10" x14ac:dyDescent="0.25">
      <c r="J131" s="76"/>
    </row>
  </sheetData>
  <autoFilter ref="A4:J126"/>
  <mergeCells count="14">
    <mergeCell ref="L1:M1"/>
    <mergeCell ref="A2:M2"/>
    <mergeCell ref="L4:L5"/>
    <mergeCell ref="M4:M5"/>
    <mergeCell ref="A4:A5"/>
    <mergeCell ref="B4:B5"/>
    <mergeCell ref="C4:C5"/>
    <mergeCell ref="D4:D5"/>
    <mergeCell ref="E4:E5"/>
    <mergeCell ref="F4:F5"/>
    <mergeCell ref="J4:J5"/>
    <mergeCell ref="K4:K5"/>
    <mergeCell ref="I1:J1"/>
    <mergeCell ref="I3:J3"/>
  </mergeCells>
  <pageMargins left="0.25" right="0.25" top="0.75" bottom="0.75" header="0.3" footer="0.3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topLeftCell="A13" workbookViewId="0">
      <selection activeCell="Q27" sqref="Q27"/>
    </sheetView>
  </sheetViews>
  <sheetFormatPr defaultRowHeight="15" x14ac:dyDescent="0.25"/>
  <cols>
    <col min="9" max="9" width="12.140625" hidden="1" customWidth="1"/>
    <col min="10" max="10" width="8.28515625" hidden="1" customWidth="1"/>
    <col min="11" max="11" width="0" hidden="1" customWidth="1"/>
    <col min="14" max="14" width="12.28515625" customWidth="1"/>
  </cols>
  <sheetData>
    <row r="1" spans="1:18" x14ac:dyDescent="0.25">
      <c r="J1" s="321"/>
      <c r="K1" s="321"/>
      <c r="L1" s="321"/>
      <c r="M1" s="321"/>
      <c r="N1" s="321" t="s">
        <v>266</v>
      </c>
      <c r="O1" s="321"/>
      <c r="P1" s="321"/>
      <c r="Q1" s="257"/>
      <c r="R1" s="257"/>
    </row>
    <row r="2" spans="1:18" x14ac:dyDescent="0.25">
      <c r="I2" s="321"/>
      <c r="J2" s="321"/>
      <c r="K2" s="321"/>
      <c r="L2" s="321"/>
      <c r="M2" s="321"/>
      <c r="N2" s="321" t="s">
        <v>208</v>
      </c>
      <c r="O2" s="321"/>
      <c r="P2" s="321"/>
      <c r="Q2" s="257"/>
      <c r="R2" s="257"/>
    </row>
    <row r="3" spans="1:18" x14ac:dyDescent="0.25">
      <c r="I3" s="321"/>
      <c r="J3" s="321"/>
      <c r="K3" s="321"/>
      <c r="L3" s="321"/>
      <c r="M3" s="321"/>
      <c r="N3" s="321" t="s">
        <v>185</v>
      </c>
      <c r="O3" s="321"/>
      <c r="P3" s="321"/>
      <c r="Q3" s="257"/>
      <c r="R3" s="257"/>
    </row>
    <row r="4" spans="1:18" x14ac:dyDescent="0.25">
      <c r="K4" s="321"/>
      <c r="L4" s="321"/>
      <c r="M4" s="321"/>
      <c r="N4" s="321" t="s">
        <v>353</v>
      </c>
      <c r="O4" s="321"/>
      <c r="P4" s="321"/>
      <c r="Q4" s="257"/>
      <c r="R4" s="257"/>
    </row>
    <row r="6" spans="1:18" x14ac:dyDescent="0.25">
      <c r="A6" s="327" t="s">
        <v>207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</row>
    <row r="8" spans="1:18" ht="110.25" x14ac:dyDescent="0.25">
      <c r="A8" s="253" t="s">
        <v>186</v>
      </c>
      <c r="B8" s="322" t="s">
        <v>187</v>
      </c>
      <c r="C8" s="323"/>
      <c r="D8" s="324"/>
      <c r="E8" s="322" t="s">
        <v>188</v>
      </c>
      <c r="F8" s="323"/>
      <c r="G8" s="323"/>
      <c r="H8" s="324"/>
      <c r="I8" s="254" t="s">
        <v>267</v>
      </c>
      <c r="J8" s="325" t="s">
        <v>183</v>
      </c>
      <c r="K8" s="326"/>
      <c r="L8" s="322" t="s">
        <v>346</v>
      </c>
      <c r="M8" s="324"/>
      <c r="N8" s="251" t="s">
        <v>345</v>
      </c>
      <c r="O8" s="252" t="s">
        <v>343</v>
      </c>
    </row>
    <row r="9" spans="1:18" ht="15.75" customHeight="1" x14ac:dyDescent="0.25">
      <c r="A9" s="314">
        <v>650</v>
      </c>
      <c r="B9" s="315"/>
      <c r="C9" s="315"/>
      <c r="D9" s="316"/>
      <c r="E9" s="319" t="s">
        <v>189</v>
      </c>
      <c r="F9" s="320"/>
      <c r="G9" s="320"/>
      <c r="H9" s="320"/>
      <c r="I9" s="320"/>
      <c r="J9" s="320"/>
      <c r="K9" s="320"/>
      <c r="L9" s="320"/>
      <c r="M9" s="320"/>
      <c r="N9" s="320"/>
      <c r="O9" s="320"/>
    </row>
    <row r="10" spans="1:18" ht="45" customHeight="1" x14ac:dyDescent="0.25">
      <c r="A10" s="88">
        <v>650</v>
      </c>
      <c r="B10" s="291" t="s">
        <v>190</v>
      </c>
      <c r="C10" s="292"/>
      <c r="D10" s="293"/>
      <c r="E10" s="294" t="s">
        <v>191</v>
      </c>
      <c r="F10" s="295"/>
      <c r="G10" s="295"/>
      <c r="H10" s="296"/>
      <c r="I10" s="126">
        <v>0</v>
      </c>
      <c r="J10" s="317">
        <v>0</v>
      </c>
      <c r="K10" s="318"/>
      <c r="L10" s="312">
        <v>0</v>
      </c>
      <c r="M10" s="313"/>
      <c r="N10" s="207">
        <v>0</v>
      </c>
      <c r="O10" s="207">
        <v>0</v>
      </c>
    </row>
    <row r="11" spans="1:18" ht="63" customHeight="1" x14ac:dyDescent="0.25">
      <c r="A11" s="88">
        <v>650</v>
      </c>
      <c r="B11" s="291" t="s">
        <v>192</v>
      </c>
      <c r="C11" s="292"/>
      <c r="D11" s="293"/>
      <c r="E11" s="294" t="s">
        <v>193</v>
      </c>
      <c r="F11" s="295"/>
      <c r="G11" s="295"/>
      <c r="H11" s="296"/>
      <c r="I11" s="127">
        <v>0</v>
      </c>
      <c r="J11" s="297">
        <v>0</v>
      </c>
      <c r="K11" s="298"/>
      <c r="L11" s="312">
        <v>0</v>
      </c>
      <c r="M11" s="313"/>
      <c r="N11" s="207">
        <v>0</v>
      </c>
      <c r="O11" s="207">
        <v>0</v>
      </c>
    </row>
    <row r="12" spans="1:18" ht="79.5" customHeight="1" x14ac:dyDescent="0.25">
      <c r="A12" s="88">
        <v>650</v>
      </c>
      <c r="B12" s="291" t="s">
        <v>194</v>
      </c>
      <c r="C12" s="292"/>
      <c r="D12" s="293"/>
      <c r="E12" s="294" t="s">
        <v>195</v>
      </c>
      <c r="F12" s="295"/>
      <c r="G12" s="295"/>
      <c r="H12" s="296"/>
      <c r="I12" s="127">
        <v>0</v>
      </c>
      <c r="J12" s="297">
        <v>0</v>
      </c>
      <c r="K12" s="298"/>
      <c r="L12" s="312">
        <v>0</v>
      </c>
      <c r="M12" s="313"/>
      <c r="N12" s="207">
        <v>0</v>
      </c>
      <c r="O12" s="207">
        <v>0</v>
      </c>
    </row>
    <row r="13" spans="1:18" ht="62.25" customHeight="1" x14ac:dyDescent="0.25">
      <c r="A13" s="89" t="s">
        <v>26</v>
      </c>
      <c r="B13" s="291" t="s">
        <v>196</v>
      </c>
      <c r="C13" s="292"/>
      <c r="D13" s="293"/>
      <c r="E13" s="307" t="s">
        <v>197</v>
      </c>
      <c r="F13" s="308"/>
      <c r="G13" s="308"/>
      <c r="H13" s="309"/>
      <c r="I13" s="128">
        <v>0</v>
      </c>
      <c r="J13" s="305">
        <f>L13-I13</f>
        <v>0</v>
      </c>
      <c r="K13" s="306"/>
      <c r="L13" s="310">
        <v>0</v>
      </c>
      <c r="M13" s="311"/>
      <c r="N13" s="242">
        <v>0</v>
      </c>
      <c r="O13" s="242">
        <v>0</v>
      </c>
    </row>
    <row r="14" spans="1:18" ht="61.5" customHeight="1" x14ac:dyDescent="0.25">
      <c r="A14" s="88">
        <v>650</v>
      </c>
      <c r="B14" s="291" t="s">
        <v>198</v>
      </c>
      <c r="C14" s="292"/>
      <c r="D14" s="293"/>
      <c r="E14" s="294" t="s">
        <v>199</v>
      </c>
      <c r="F14" s="295"/>
      <c r="G14" s="295"/>
      <c r="H14" s="296"/>
      <c r="I14" s="127">
        <v>0</v>
      </c>
      <c r="J14" s="297">
        <v>0</v>
      </c>
      <c r="K14" s="298"/>
      <c r="L14" s="312">
        <v>0</v>
      </c>
      <c r="M14" s="313"/>
      <c r="N14" s="207">
        <v>0</v>
      </c>
      <c r="O14" s="207">
        <v>0</v>
      </c>
    </row>
    <row r="15" spans="1:18" ht="33" customHeight="1" x14ac:dyDescent="0.25">
      <c r="A15" s="89" t="s">
        <v>26</v>
      </c>
      <c r="B15" s="291" t="s">
        <v>200</v>
      </c>
      <c r="C15" s="292"/>
      <c r="D15" s="293"/>
      <c r="E15" s="307" t="s">
        <v>201</v>
      </c>
      <c r="F15" s="308"/>
      <c r="G15" s="308"/>
      <c r="H15" s="309"/>
      <c r="I15" s="128">
        <f>I17-I16</f>
        <v>186.8</v>
      </c>
      <c r="J15" s="305">
        <f t="shared" ref="J15:N15" si="0">J17-J16</f>
        <v>473.19999999999993</v>
      </c>
      <c r="K15" s="306"/>
      <c r="L15" s="305">
        <f>L17-L16</f>
        <v>659.99999999999989</v>
      </c>
      <c r="M15" s="306"/>
      <c r="N15" s="128">
        <f t="shared" si="0"/>
        <v>-412.9</v>
      </c>
      <c r="O15" s="260">
        <f>N15/L15*100</f>
        <v>-62.560606060606069</v>
      </c>
    </row>
    <row r="16" spans="1:18" ht="30" customHeight="1" x14ac:dyDescent="0.25">
      <c r="A16" s="88">
        <v>650</v>
      </c>
      <c r="B16" s="291" t="s">
        <v>202</v>
      </c>
      <c r="C16" s="292"/>
      <c r="D16" s="293"/>
      <c r="E16" s="294" t="s">
        <v>203</v>
      </c>
      <c r="F16" s="295"/>
      <c r="G16" s="295"/>
      <c r="H16" s="296"/>
      <c r="I16" s="127">
        <v>0</v>
      </c>
      <c r="J16" s="297">
        <v>106.6</v>
      </c>
      <c r="K16" s="298"/>
      <c r="L16" s="297">
        <f>I16+J16</f>
        <v>106.6</v>
      </c>
      <c r="M16" s="298"/>
      <c r="N16" s="29">
        <v>1179.5</v>
      </c>
      <c r="O16" s="261">
        <f t="shared" ref="O16:O18" si="1">N16/L16*100</f>
        <v>1106.4727954971859</v>
      </c>
    </row>
    <row r="17" spans="1:15" ht="30" customHeight="1" x14ac:dyDescent="0.25">
      <c r="A17" s="88">
        <v>650</v>
      </c>
      <c r="B17" s="291" t="s">
        <v>204</v>
      </c>
      <c r="C17" s="292"/>
      <c r="D17" s="293"/>
      <c r="E17" s="294" t="s">
        <v>205</v>
      </c>
      <c r="F17" s="295"/>
      <c r="G17" s="295"/>
      <c r="H17" s="296"/>
      <c r="I17" s="127">
        <v>186.8</v>
      </c>
      <c r="J17" s="297">
        <v>579.79999999999995</v>
      </c>
      <c r="K17" s="298"/>
      <c r="L17" s="297">
        <f>I17+J17</f>
        <v>766.59999999999991</v>
      </c>
      <c r="M17" s="298"/>
      <c r="N17" s="29">
        <v>766.6</v>
      </c>
      <c r="O17" s="261">
        <f t="shared" si="1"/>
        <v>100.00000000000003</v>
      </c>
    </row>
    <row r="18" spans="1:15" ht="15.75" x14ac:dyDescent="0.25">
      <c r="A18" s="90"/>
      <c r="B18" s="299"/>
      <c r="C18" s="300"/>
      <c r="D18" s="301"/>
      <c r="E18" s="302" t="s">
        <v>206</v>
      </c>
      <c r="F18" s="303"/>
      <c r="G18" s="303"/>
      <c r="H18" s="304"/>
      <c r="I18" s="128">
        <f>I15</f>
        <v>186.8</v>
      </c>
      <c r="J18" s="305">
        <f>L18-I18</f>
        <v>473.19999999999987</v>
      </c>
      <c r="K18" s="306"/>
      <c r="L18" s="305">
        <f>L15</f>
        <v>659.99999999999989</v>
      </c>
      <c r="M18" s="306"/>
      <c r="N18" s="141">
        <f>N15</f>
        <v>-412.9</v>
      </c>
      <c r="O18" s="262">
        <f t="shared" si="1"/>
        <v>-62.560606060606069</v>
      </c>
    </row>
  </sheetData>
  <mergeCells count="51">
    <mergeCell ref="N1:P1"/>
    <mergeCell ref="N2:P2"/>
    <mergeCell ref="N3:P3"/>
    <mergeCell ref="N4:P4"/>
    <mergeCell ref="B8:D8"/>
    <mergeCell ref="E8:H8"/>
    <mergeCell ref="J8:K8"/>
    <mergeCell ref="L8:M8"/>
    <mergeCell ref="J1:M1"/>
    <mergeCell ref="I2:M2"/>
    <mergeCell ref="I3:M3"/>
    <mergeCell ref="K4:M4"/>
    <mergeCell ref="A6:M6"/>
    <mergeCell ref="A9:D9"/>
    <mergeCell ref="B10:D10"/>
    <mergeCell ref="E10:H10"/>
    <mergeCell ref="J10:K10"/>
    <mergeCell ref="L10:M10"/>
    <mergeCell ref="E9:O9"/>
    <mergeCell ref="B11:D11"/>
    <mergeCell ref="E11:H11"/>
    <mergeCell ref="J11:K11"/>
    <mergeCell ref="L11:M11"/>
    <mergeCell ref="B12:D12"/>
    <mergeCell ref="E12:H12"/>
    <mergeCell ref="J12:K12"/>
    <mergeCell ref="L12:M12"/>
    <mergeCell ref="B13:D13"/>
    <mergeCell ref="E13:H13"/>
    <mergeCell ref="J13:K13"/>
    <mergeCell ref="L13:M13"/>
    <mergeCell ref="B14:D14"/>
    <mergeCell ref="E14:H14"/>
    <mergeCell ref="J14:K14"/>
    <mergeCell ref="L14:M14"/>
    <mergeCell ref="B15:D15"/>
    <mergeCell ref="E15:H15"/>
    <mergeCell ref="J15:K15"/>
    <mergeCell ref="L15:M15"/>
    <mergeCell ref="B16:D16"/>
    <mergeCell ref="E16:H16"/>
    <mergeCell ref="J16:K16"/>
    <mergeCell ref="L16:M16"/>
    <mergeCell ref="B17:D17"/>
    <mergeCell ref="E17:H17"/>
    <mergeCell ref="J17:K17"/>
    <mergeCell ref="L17:M17"/>
    <mergeCell ref="B18:D18"/>
    <mergeCell ref="E18:H18"/>
    <mergeCell ref="J18:K18"/>
    <mergeCell ref="L18:M18"/>
  </mergeCells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 2014</vt:lpstr>
      <vt:lpstr>расходы 2014</vt:lpstr>
      <vt:lpstr>программы 2014</vt:lpstr>
      <vt:lpstr>разделы 2014</vt:lpstr>
      <vt:lpstr>расходы 2014 по стуктуре</vt:lpstr>
      <vt:lpstr>источники финансирования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2015-03-05T09:28:28Z</cp:lastPrinted>
  <dcterms:created xsi:type="dcterms:W3CDTF">2013-11-27T09:07:44Z</dcterms:created>
  <dcterms:modified xsi:type="dcterms:W3CDTF">2015-03-20T11:22:07Z</dcterms:modified>
</cp:coreProperties>
</file>